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showInkAnnotation="0" codeName="ThisWorkbook" defaultThemeVersion="124226"/>
  <mc:AlternateContent xmlns:mc="http://schemas.openxmlformats.org/markup-compatibility/2006">
    <mc:Choice Requires="x15">
      <x15ac:absPath xmlns:x15ac="http://schemas.microsoft.com/office/spreadsheetml/2010/11/ac" url="C:\Users\USBS668182\Downloads\"/>
    </mc:Choice>
  </mc:AlternateContent>
  <xr:revisionPtr revIDLastSave="0" documentId="8_{674E1DB4-79C7-44C9-AB7F-6DCC19D4C33A}" xr6:coauthVersionLast="47" xr6:coauthVersionMax="47" xr10:uidLastSave="{00000000-0000-0000-0000-000000000000}"/>
  <bookViews>
    <workbookView xWindow="-23148" yWindow="-108" windowWidth="23256" windowHeight="12456" tabRatio="937" firstSheet="5" activeTab="11" xr2:uid="{00000000-000D-0000-FFFF-FFFF00000000}"/>
  </bookViews>
  <sheets>
    <sheet name="Guide for Reviewers" sheetId="65" state="hidden" r:id="rId1"/>
    <sheet name="Microsoft Forms Import" sheetId="78" state="hidden" r:id="rId2"/>
    <sheet name="Dashboard Data" sheetId="74" state="hidden" r:id="rId3"/>
    <sheet name="PowerBI Dashboard Export" sheetId="79" state="hidden" r:id="rId4"/>
    <sheet name="Quick Summary Table" sheetId="77" state="hidden" r:id="rId5"/>
    <sheet name="Project Info" sheetId="46" r:id="rId6"/>
    <sheet name="Quick Summary" sheetId="34" r:id="rId7"/>
    <sheet name="UnDisc Results" sheetId="28" r:id="rId8"/>
    <sheet name="Disc Results" sheetId="31" r:id="rId9"/>
    <sheet name="Emissions Cost Lookup" sheetId="80" state="hidden" r:id="rId10"/>
    <sheet name="Assumptions" sheetId="81" state="hidden" r:id="rId11"/>
    <sheet name="Discounted Summary" sheetId="33" r:id="rId12"/>
    <sheet name="Calculations--&gt;" sheetId="63" state="hidden" r:id="rId13"/>
  </sheets>
  <definedNames>
    <definedName name="DiscountRates">#REF!</definedName>
    <definedName name="LOCAL_MYSQL_DATE_FORMAT" localSheetId="4"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2.m3.6">#REF!</definedName>
    <definedName name="TitleRegion1.f2.u3.7">#REF!</definedName>
    <definedName name="TitleRegion2.e6.m15.6">#REF!</definedName>
    <definedName name="TitleRegion2.e6.u15.7">#REF!</definedName>
    <definedName name="TitleRegion3.c21.m53.6">#REF!</definedName>
    <definedName name="TitleRegion3.c21.u53.7">#REF!</definedName>
    <definedName name="TitleRegion4.e56.m67.6">#REF!</definedName>
    <definedName name="TitleRegion4.e56.u65.7">#REF!</definedName>
    <definedName name="TitleRegion5.d71.m127.6">#REF!</definedName>
    <definedName name="TitleRegion5.d71.u127.7">#REF!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7" i="46" l="1"/>
  <c r="G39" i="46"/>
  <c r="G41" i="46"/>
  <c r="G20" i="46" l="1"/>
  <c r="G158" i="46" l="1"/>
  <c r="G143" i="46" l="1"/>
  <c r="G151" i="46"/>
  <c r="G129" i="46"/>
  <c r="G136" i="46"/>
  <c r="G115" i="46"/>
  <c r="G122" i="46"/>
  <c r="G106" i="46"/>
  <c r="G88" i="46"/>
  <c r="E5" i="81" l="1"/>
  <c r="E51" i="81"/>
  <c r="D55" i="81"/>
  <c r="E55" i="81"/>
  <c r="E56" i="81"/>
  <c r="E57" i="81"/>
  <c r="E60" i="81"/>
  <c r="E61" i="81"/>
  <c r="E62" i="81"/>
  <c r="C46" i="81"/>
  <c r="C45" i="81"/>
  <c r="C40" i="81"/>
  <c r="C41" i="81"/>
  <c r="C43" i="81"/>
  <c r="C44" i="81"/>
  <c r="C39" i="81"/>
  <c r="C31" i="81"/>
  <c r="C32" i="81"/>
  <c r="C33" i="81"/>
  <c r="C34" i="81"/>
  <c r="C35" i="81"/>
  <c r="C29" i="81"/>
  <c r="C25" i="81"/>
  <c r="C26" i="81"/>
  <c r="C24" i="81"/>
  <c r="C14" i="81"/>
  <c r="C15" i="81"/>
  <c r="C16" i="81"/>
  <c r="C17" i="81"/>
  <c r="C18" i="81"/>
  <c r="C19" i="81"/>
  <c r="C20" i="81"/>
  <c r="C21" i="81"/>
  <c r="C13" i="81"/>
  <c r="C63" i="81"/>
  <c r="C56" i="81"/>
  <c r="C57" i="81"/>
  <c r="C58" i="81"/>
  <c r="C60" i="81"/>
  <c r="C61" i="81"/>
  <c r="C62" i="81"/>
  <c r="C55" i="81"/>
  <c r="C53" i="81"/>
  <c r="C51" i="81"/>
  <c r="C11" i="81"/>
  <c r="C10" i="81"/>
  <c r="C6" i="81"/>
  <c r="C7" i="81"/>
  <c r="C5" i="81"/>
  <c r="D3" i="81"/>
  <c r="C3" i="81"/>
  <c r="E36" i="80" l="1"/>
  <c r="E37" i="80" s="1"/>
  <c r="E38" i="80" s="1"/>
  <c r="E39" i="80" s="1"/>
  <c r="E40" i="80" s="1"/>
  <c r="E41" i="80" s="1"/>
  <c r="E42" i="80" s="1"/>
  <c r="E43" i="80" s="1"/>
  <c r="E44" i="80" s="1"/>
  <c r="E45" i="80" s="1"/>
  <c r="E46" i="80" s="1"/>
  <c r="E47" i="80" s="1"/>
  <c r="E48" i="80" s="1"/>
  <c r="D36" i="80"/>
  <c r="D37" i="80" s="1"/>
  <c r="D38" i="80" s="1"/>
  <c r="D39" i="80" s="1"/>
  <c r="D40" i="80" s="1"/>
  <c r="D41" i="80" s="1"/>
  <c r="D42" i="80" s="1"/>
  <c r="D43" i="80" s="1"/>
  <c r="D44" i="80" s="1"/>
  <c r="D45" i="80" s="1"/>
  <c r="D46" i="80" s="1"/>
  <c r="D47" i="80" s="1"/>
  <c r="D48" i="80" s="1"/>
  <c r="C36" i="80"/>
  <c r="C37" i="80" s="1"/>
  <c r="C38" i="80" s="1"/>
  <c r="C39" i="80" s="1"/>
  <c r="C40" i="80" s="1"/>
  <c r="C41" i="80" s="1"/>
  <c r="C42" i="80" s="1"/>
  <c r="C43" i="80" s="1"/>
  <c r="C44" i="80" s="1"/>
  <c r="C45" i="80" s="1"/>
  <c r="C46" i="80" s="1"/>
  <c r="C47" i="80" s="1"/>
  <c r="C48" i="80" s="1"/>
  <c r="B36" i="80"/>
  <c r="B37" i="80" s="1"/>
  <c r="B38" i="80" s="1"/>
  <c r="B39" i="80" s="1"/>
  <c r="B40" i="80" s="1"/>
  <c r="B41" i="80" s="1"/>
  <c r="B42" i="80" s="1"/>
  <c r="B43" i="80" s="1"/>
  <c r="B44" i="80" s="1"/>
  <c r="B45" i="80" s="1"/>
  <c r="B46" i="80" s="1"/>
  <c r="B47" i="80" s="1"/>
  <c r="B48" i="80" s="1"/>
  <c r="B4" i="80"/>
  <c r="G46" i="77" l="1"/>
  <c r="G43" i="77"/>
  <c r="G44" i="77"/>
  <c r="C41" i="77"/>
  <c r="C28" i="77"/>
  <c r="C14" i="77"/>
  <c r="C10" i="77"/>
  <c r="C6" i="77"/>
  <c r="E39" i="77"/>
  <c r="E26" i="77"/>
  <c r="E8" i="77"/>
  <c r="E4" i="77"/>
  <c r="F4" i="77"/>
  <c r="G4" i="77"/>
  <c r="G16" i="77"/>
  <c r="G30" i="77"/>
  <c r="G52" i="77"/>
  <c r="G50" i="77"/>
  <c r="G49" i="77"/>
  <c r="G39" i="77"/>
  <c r="G37" i="77"/>
  <c r="G26" i="77"/>
  <c r="G24" i="77"/>
  <c r="G12" i="77"/>
  <c r="B9" i="78"/>
  <c r="B8" i="78"/>
  <c r="E21" i="77" l="1"/>
  <c r="E22" i="77"/>
  <c r="H20" i="74"/>
  <c r="E20" i="74"/>
  <c r="E95" i="74" s="1"/>
  <c r="H19" i="74"/>
  <c r="E19" i="74"/>
  <c r="H18" i="74"/>
  <c r="E18" i="74"/>
  <c r="E93" i="74" s="1"/>
  <c r="H17" i="74"/>
  <c r="E17" i="74"/>
  <c r="E92" i="74" s="1"/>
  <c r="G97" i="46"/>
  <c r="G79" i="46"/>
  <c r="G70" i="46"/>
  <c r="H12" i="74"/>
  <c r="H11" i="74"/>
  <c r="H10" i="74"/>
  <c r="H9" i="74"/>
  <c r="H8" i="74"/>
  <c r="E12" i="74"/>
  <c r="E69" i="74" s="1"/>
  <c r="E11" i="74"/>
  <c r="E62" i="74" s="1"/>
  <c r="E10" i="74"/>
  <c r="E71" i="74" s="1"/>
  <c r="E9" i="74"/>
  <c r="E67" i="74" s="1"/>
  <c r="E8" i="74"/>
  <c r="E68" i="74" s="1"/>
  <c r="H23" i="74"/>
  <c r="G23" i="74"/>
  <c r="G28" i="74" s="1"/>
  <c r="F23" i="74"/>
  <c r="F28" i="74" s="1"/>
  <c r="H22" i="74"/>
  <c r="H15" i="74"/>
  <c r="G15" i="74"/>
  <c r="G27" i="74" s="1"/>
  <c r="F15" i="74"/>
  <c r="F27" i="74" s="1"/>
  <c r="H14" i="74"/>
  <c r="E23" i="74"/>
  <c r="E28" i="74" s="1"/>
  <c r="E22" i="74"/>
  <c r="E15" i="74"/>
  <c r="E27" i="74" s="1"/>
  <c r="E14" i="74"/>
  <c r="E5" i="74"/>
  <c r="F5" i="74"/>
  <c r="G5" i="74"/>
  <c r="E6" i="74"/>
  <c r="F6" i="74"/>
  <c r="G6" i="74"/>
  <c r="BA3" i="74"/>
  <c r="BA26" i="74" s="1"/>
  <c r="AZ3" i="74"/>
  <c r="AZ26" i="74" s="1"/>
  <c r="AY3" i="74"/>
  <c r="AY26" i="74" s="1"/>
  <c r="AX3" i="74"/>
  <c r="AX26" i="74" s="1"/>
  <c r="AW3" i="74"/>
  <c r="AW26" i="74" s="1"/>
  <c r="AV3" i="74"/>
  <c r="AV26" i="74" s="1"/>
  <c r="AU3" i="74"/>
  <c r="AU26" i="74" s="1"/>
  <c r="AT3" i="74"/>
  <c r="AT26" i="74" s="1"/>
  <c r="AS3" i="74"/>
  <c r="AS26" i="74" s="1"/>
  <c r="AR3" i="74"/>
  <c r="AR26" i="74" s="1"/>
  <c r="AQ3" i="74"/>
  <c r="AQ26" i="74" s="1"/>
  <c r="AP3" i="74"/>
  <c r="AP26" i="74" s="1"/>
  <c r="AO3" i="74"/>
  <c r="AO26" i="74" s="1"/>
  <c r="AN3" i="74"/>
  <c r="AN26" i="74" s="1"/>
  <c r="AM3" i="74"/>
  <c r="AM26" i="74" s="1"/>
  <c r="AL3" i="74"/>
  <c r="AL26" i="74" s="1"/>
  <c r="AK3" i="74"/>
  <c r="AK26" i="74" s="1"/>
  <c r="AJ3" i="74"/>
  <c r="AJ26" i="74" s="1"/>
  <c r="AI3" i="74"/>
  <c r="AI26" i="74" s="1"/>
  <c r="AH3" i="74"/>
  <c r="AH26" i="74" s="1"/>
  <c r="AG3" i="74"/>
  <c r="AG26" i="74" s="1"/>
  <c r="AF3" i="74"/>
  <c r="AF26" i="74" s="1"/>
  <c r="AE3" i="74"/>
  <c r="AE26" i="74" s="1"/>
  <c r="AD3" i="74"/>
  <c r="AD26" i="74" s="1"/>
  <c r="AC3" i="74"/>
  <c r="AC26" i="74" s="1"/>
  <c r="AB3" i="74"/>
  <c r="AB26" i="74" s="1"/>
  <c r="AA3" i="74"/>
  <c r="AA26" i="74" s="1"/>
  <c r="Z3" i="74"/>
  <c r="Z26" i="74" s="1"/>
  <c r="Y3" i="74"/>
  <c r="Y26" i="74" s="1"/>
  <c r="X3" i="74"/>
  <c r="X26" i="74" s="1"/>
  <c r="W3" i="74"/>
  <c r="W26" i="74" s="1"/>
  <c r="V3" i="74"/>
  <c r="V26" i="74" s="1"/>
  <c r="U3" i="74"/>
  <c r="U26" i="74" s="1"/>
  <c r="T3" i="74"/>
  <c r="T26" i="74" s="1"/>
  <c r="S3" i="74"/>
  <c r="S26" i="74" s="1"/>
  <c r="R3" i="74"/>
  <c r="R26" i="74" s="1"/>
  <c r="Q3" i="74"/>
  <c r="Q26" i="74" s="1"/>
  <c r="P3" i="74"/>
  <c r="P26" i="74" s="1"/>
  <c r="O3" i="74"/>
  <c r="O26" i="74" s="1"/>
  <c r="N3" i="74"/>
  <c r="N26" i="74" s="1"/>
  <c r="M3" i="74"/>
  <c r="M26" i="74" s="1"/>
  <c r="L3" i="74"/>
  <c r="L26" i="74" s="1"/>
  <c r="K3" i="74"/>
  <c r="K26" i="74" s="1"/>
  <c r="J3" i="74"/>
  <c r="J26" i="74" s="1"/>
  <c r="G3" i="74"/>
  <c r="F3" i="74"/>
  <c r="E3" i="74"/>
  <c r="I3" i="74"/>
  <c r="I26" i="74" s="1"/>
  <c r="E94" i="74" l="1"/>
  <c r="E87" i="74"/>
  <c r="E88" i="74"/>
  <c r="E86" i="74"/>
  <c r="E85" i="74"/>
  <c r="E70" i="74"/>
  <c r="E59" i="74"/>
  <c r="E60" i="74"/>
  <c r="E61" i="74"/>
  <c r="E63" i="74"/>
  <c r="E19" i="77"/>
  <c r="E19" i="81" l="1"/>
  <c r="E29" i="81" l="1"/>
  <c r="D51" i="46"/>
  <c r="C50" i="81" s="1"/>
  <c r="D48" i="46"/>
  <c r="C49" i="81" s="1"/>
  <c r="E35" i="77" l="1"/>
  <c r="E34" i="77" l="1"/>
  <c r="E33" i="77"/>
  <c r="E20" i="77"/>
  <c r="E18" i="77"/>
  <c r="C30" i="81" l="1"/>
  <c r="E50" i="77" l="1"/>
  <c r="E44" i="77"/>
  <c r="E43" i="77" l="1"/>
  <c r="E49" i="77"/>
  <c r="E53" i="77"/>
  <c r="E52" i="77"/>
  <c r="E46" i="77"/>
  <c r="E47" i="77"/>
  <c r="G27" i="46"/>
  <c r="D52" i="46"/>
  <c r="E17" i="81" l="1"/>
  <c r="E7" i="81"/>
  <c r="D35" i="81"/>
  <c r="D42" i="81"/>
  <c r="D32" i="81"/>
  <c r="D41" i="81"/>
  <c r="D13" i="81"/>
  <c r="D14" i="81"/>
  <c r="D15" i="81"/>
  <c r="D31" i="81"/>
  <c r="C42" i="81"/>
  <c r="G17" i="46" l="1"/>
  <c r="E14" i="81" l="1"/>
  <c r="E13" i="81"/>
  <c r="F79" i="74"/>
  <c r="F38" i="74"/>
  <c r="F53" i="74"/>
  <c r="E15" i="81" l="1"/>
  <c r="F76" i="74" l="1"/>
  <c r="F75" i="74"/>
  <c r="F50" i="74"/>
  <c r="F35" i="74"/>
  <c r="F49" i="74"/>
  <c r="F34" i="74"/>
  <c r="F80" i="74" l="1"/>
  <c r="F78" i="74" s="1"/>
  <c r="F39" i="74"/>
  <c r="F54" i="74"/>
  <c r="Z5" i="74" l="1"/>
  <c r="N5" i="74"/>
  <c r="F52" i="74"/>
  <c r="I82" i="74" s="1"/>
  <c r="F37" i="74"/>
  <c r="I41" i="74" s="1"/>
  <c r="AS6" i="74"/>
  <c r="I5" i="74"/>
  <c r="P5" i="74"/>
  <c r="M5" i="74"/>
  <c r="AG5" i="74"/>
  <c r="AD5" i="74"/>
  <c r="AB5" i="74"/>
  <c r="J5" i="74"/>
  <c r="AK5" i="74"/>
  <c r="AX5" i="74"/>
  <c r="AY5" i="74"/>
  <c r="AJ5" i="74"/>
  <c r="AE5" i="74"/>
  <c r="AW5" i="74"/>
  <c r="AM5" i="74"/>
  <c r="AZ5" i="74"/>
  <c r="AN5" i="74"/>
  <c r="K5" i="74"/>
  <c r="AR5" i="74"/>
  <c r="W5" i="74"/>
  <c r="AS5" i="74"/>
  <c r="AF5" i="74"/>
  <c r="S5" i="74"/>
  <c r="AO5" i="74"/>
  <c r="X5" i="74"/>
  <c r="AL5" i="74"/>
  <c r="U5" i="74"/>
  <c r="AQ5" i="74"/>
  <c r="AH5" i="74"/>
  <c r="Q5" i="74"/>
  <c r="AT5" i="74"/>
  <c r="AC5" i="74"/>
  <c r="AP5" i="74"/>
  <c r="Y5" i="74"/>
  <c r="L5" i="74"/>
  <c r="AU5" i="74"/>
  <c r="V5" i="74"/>
  <c r="T5" i="74"/>
  <c r="AA5" i="74"/>
  <c r="R5" i="74"/>
  <c r="AV5" i="74"/>
  <c r="I56" i="74" l="1"/>
  <c r="J56" i="74" s="1"/>
  <c r="J83" i="74" s="1"/>
  <c r="I42" i="74"/>
  <c r="B2" i="79" s="1"/>
  <c r="A2" i="79"/>
  <c r="J41" i="74"/>
  <c r="A3" i="79" s="1"/>
  <c r="BA6" i="74"/>
  <c r="AL6" i="74"/>
  <c r="AY6" i="74"/>
  <c r="AI5" i="74"/>
  <c r="S6" i="74"/>
  <c r="P6" i="74"/>
  <c r="AB6" i="74"/>
  <c r="I6" i="74"/>
  <c r="R6" i="74"/>
  <c r="L6" i="74"/>
  <c r="AN6" i="74"/>
  <c r="O5" i="74"/>
  <c r="AK6" i="74"/>
  <c r="AZ6" i="74"/>
  <c r="AI6" i="74"/>
  <c r="AW6" i="74"/>
  <c r="AD6" i="74"/>
  <c r="AU6" i="74"/>
  <c r="AQ6" i="74"/>
  <c r="N6" i="74"/>
  <c r="AC6" i="74"/>
  <c r="W6" i="74"/>
  <c r="V6" i="74"/>
  <c r="BA5" i="74"/>
  <c r="U6" i="74"/>
  <c r="AJ6" i="74"/>
  <c r="AX6" i="74"/>
  <c r="AG6" i="74"/>
  <c r="AV6" i="74"/>
  <c r="AE6" i="74"/>
  <c r="M6" i="74"/>
  <c r="AH6" i="74"/>
  <c r="X6" i="74"/>
  <c r="K6" i="74"/>
  <c r="Y6" i="74"/>
  <c r="O6" i="74"/>
  <c r="AA6" i="74"/>
  <c r="T6" i="74"/>
  <c r="J6" i="74"/>
  <c r="Q6" i="74"/>
  <c r="AF6" i="74"/>
  <c r="AP6" i="74"/>
  <c r="Z6" i="74"/>
  <c r="AO6" i="74"/>
  <c r="AM6" i="74"/>
  <c r="AR6" i="74"/>
  <c r="AT6" i="74"/>
  <c r="H6" i="74"/>
  <c r="H5" i="74"/>
  <c r="K56" i="74" l="1"/>
  <c r="L56" i="74" s="1"/>
  <c r="L83" i="74" s="1"/>
  <c r="J82" i="74"/>
  <c r="J57" i="74"/>
  <c r="I83" i="74"/>
  <c r="I57" i="74"/>
  <c r="K82" i="74"/>
  <c r="K41" i="74"/>
  <c r="K83" i="74" l="1"/>
  <c r="M56" i="74"/>
  <c r="N82" i="74" s="1"/>
  <c r="M82" i="74"/>
  <c r="K57" i="74"/>
  <c r="L57" i="74"/>
  <c r="L82" i="74"/>
  <c r="L41" i="74"/>
  <c r="A4" i="79"/>
  <c r="N56" i="74" l="1"/>
  <c r="N83" i="74" s="1"/>
  <c r="M57" i="74"/>
  <c r="M83" i="74"/>
  <c r="M41" i="74"/>
  <c r="A5" i="79"/>
  <c r="O56" i="74" l="1"/>
  <c r="O83" i="74" s="1"/>
  <c r="N57" i="74"/>
  <c r="O82" i="74"/>
  <c r="N41" i="74"/>
  <c r="A6" i="79"/>
  <c r="E43" i="81"/>
  <c r="E11" i="81"/>
  <c r="E49" i="81"/>
  <c r="G24" i="46"/>
  <c r="O57" i="74" l="1"/>
  <c r="P56" i="74"/>
  <c r="Q82" i="74" s="1"/>
  <c r="P82" i="74"/>
  <c r="E41" i="81"/>
  <c r="E53" i="81"/>
  <c r="E6" i="81"/>
  <c r="O41" i="74"/>
  <c r="A7" i="79"/>
  <c r="E30" i="81"/>
  <c r="P83" i="74" l="1"/>
  <c r="Q56" i="74"/>
  <c r="Q57" i="74" s="1"/>
  <c r="P57" i="74"/>
  <c r="E10" i="81"/>
  <c r="E16" i="81"/>
  <c r="E24" i="81"/>
  <c r="G51" i="46"/>
  <c r="P41" i="74"/>
  <c r="A8" i="79"/>
  <c r="R82" i="74" l="1"/>
  <c r="R56" i="74"/>
  <c r="R57" i="74" s="1"/>
  <c r="Q83" i="74"/>
  <c r="E39" i="81"/>
  <c r="E18" i="81"/>
  <c r="E33" i="81"/>
  <c r="E25" i="81"/>
  <c r="E50" i="81"/>
  <c r="Q41" i="74"/>
  <c r="A9" i="79"/>
  <c r="E32" i="77"/>
  <c r="E37" i="77"/>
  <c r="E12" i="77"/>
  <c r="E34" i="81" l="1"/>
  <c r="S82" i="74"/>
  <c r="R83" i="74"/>
  <c r="S56" i="74"/>
  <c r="T82" i="74" s="1"/>
  <c r="E44" i="81"/>
  <c r="E40" i="81"/>
  <c r="E42" i="81"/>
  <c r="E45" i="81"/>
  <c r="E31" i="81"/>
  <c r="E26" i="81"/>
  <c r="E20" i="81"/>
  <c r="R41" i="74"/>
  <c r="A10" i="79"/>
  <c r="E30" i="77"/>
  <c r="E16" i="77"/>
  <c r="F30" i="77"/>
  <c r="F16" i="77"/>
  <c r="E24" i="77"/>
  <c r="G8" i="77"/>
  <c r="G22" i="77" l="1"/>
  <c r="G18" i="77"/>
  <c r="G20" i="77"/>
  <c r="G21" i="77"/>
  <c r="G19" i="77"/>
  <c r="T56" i="74"/>
  <c r="T57" i="74" s="1"/>
  <c r="S57" i="74"/>
  <c r="S83" i="74"/>
  <c r="E32" i="81"/>
  <c r="E21" i="81"/>
  <c r="S41" i="74"/>
  <c r="A11" i="79"/>
  <c r="G33" i="77"/>
  <c r="G32" i="77"/>
  <c r="I11" i="74" l="1"/>
  <c r="G34" i="77"/>
  <c r="G35" i="77"/>
  <c r="U56" i="74"/>
  <c r="U57" i="74" s="1"/>
  <c r="U82" i="74"/>
  <c r="T83" i="74"/>
  <c r="E46" i="81"/>
  <c r="E35" i="81"/>
  <c r="T41" i="74"/>
  <c r="A12" i="79"/>
  <c r="G14" i="74"/>
  <c r="G9" i="74"/>
  <c r="AY12" i="74"/>
  <c r="AP12" i="74"/>
  <c r="AM12" i="74"/>
  <c r="AV12" i="74"/>
  <c r="AQ12" i="74"/>
  <c r="BA12" i="74"/>
  <c r="AR12" i="74"/>
  <c r="AU12" i="74"/>
  <c r="G22" i="74"/>
  <c r="G20" i="74"/>
  <c r="AZ12" i="74"/>
  <c r="AW12" i="74"/>
  <c r="AN12" i="74"/>
  <c r="AT12" i="74"/>
  <c r="G18" i="74"/>
  <c r="AO12" i="74"/>
  <c r="G10" i="74"/>
  <c r="AS12" i="74"/>
  <c r="G17" i="74"/>
  <c r="AX12" i="74"/>
  <c r="AL12" i="74"/>
  <c r="G19" i="74"/>
  <c r="G11" i="74"/>
  <c r="G12" i="74"/>
  <c r="G8" i="74"/>
  <c r="AQ10" i="74"/>
  <c r="BA10" i="74"/>
  <c r="AR10" i="74"/>
  <c r="AU10" i="74"/>
  <c r="AV10" i="74"/>
  <c r="AO10" i="74"/>
  <c r="AS10" i="74"/>
  <c r="AX10" i="74"/>
  <c r="AY10" i="74"/>
  <c r="AZ10" i="74"/>
  <c r="AP10" i="74"/>
  <c r="AW10" i="74"/>
  <c r="AL10" i="74"/>
  <c r="AM10" i="74"/>
  <c r="AN10" i="74"/>
  <c r="AT10" i="74"/>
  <c r="AT11" i="74" l="1"/>
  <c r="AR11" i="74"/>
  <c r="AY11" i="74"/>
  <c r="AU11" i="74"/>
  <c r="AN11" i="74"/>
  <c r="J11" i="74"/>
  <c r="AM8" i="74"/>
  <c r="AO8" i="74"/>
  <c r="AV11" i="74"/>
  <c r="AQ8" i="74"/>
  <c r="AZ11" i="74"/>
  <c r="AL8" i="74"/>
  <c r="K11" i="74"/>
  <c r="M11" i="74"/>
  <c r="AS8" i="74"/>
  <c r="AV8" i="74"/>
  <c r="AW8" i="74"/>
  <c r="AX8" i="74"/>
  <c r="AN8" i="74"/>
  <c r="AZ8" i="74"/>
  <c r="L11" i="74"/>
  <c r="AM11" i="74"/>
  <c r="AL11" i="74"/>
  <c r="AU8" i="74"/>
  <c r="AP8" i="74"/>
  <c r="AX11" i="74"/>
  <c r="AR8" i="74"/>
  <c r="BA11" i="74"/>
  <c r="AW11" i="74"/>
  <c r="AT8" i="74"/>
  <c r="AY8" i="74"/>
  <c r="BA8" i="74"/>
  <c r="AS11" i="74"/>
  <c r="AQ11" i="74"/>
  <c r="AP11" i="74"/>
  <c r="AO11" i="74"/>
  <c r="U83" i="74"/>
  <c r="I20" i="74"/>
  <c r="L20" i="74"/>
  <c r="N20" i="74"/>
  <c r="AW20" i="74"/>
  <c r="Y20" i="74"/>
  <c r="T88" i="74" s="1"/>
  <c r="Z13" i="79" s="1"/>
  <c r="AZ20" i="74"/>
  <c r="X20" i="74"/>
  <c r="S88" i="74" s="1"/>
  <c r="Z12" i="79" s="1"/>
  <c r="W20" i="74"/>
  <c r="R88" i="74" s="1"/>
  <c r="Z11" i="79" s="1"/>
  <c r="V20" i="74"/>
  <c r="AQ20" i="74"/>
  <c r="AD20" i="74"/>
  <c r="AM20" i="74"/>
  <c r="AY20" i="74"/>
  <c r="AF20" i="74"/>
  <c r="AA20" i="74"/>
  <c r="AV20" i="74"/>
  <c r="AE20" i="74"/>
  <c r="AG20" i="74"/>
  <c r="AX20" i="74"/>
  <c r="BA20" i="74"/>
  <c r="AS20" i="74"/>
  <c r="AC20" i="74"/>
  <c r="J20" i="74"/>
  <c r="AK20" i="74"/>
  <c r="Z20" i="74"/>
  <c r="U88" i="74" s="1"/>
  <c r="Z14" i="79" s="1"/>
  <c r="AO20" i="74"/>
  <c r="AI20" i="74"/>
  <c r="AU20" i="74"/>
  <c r="AR20" i="74"/>
  <c r="AL20" i="74"/>
  <c r="AB20" i="74"/>
  <c r="AP20" i="74"/>
  <c r="AH20" i="74"/>
  <c r="T20" i="74"/>
  <c r="K20" i="74"/>
  <c r="AT20" i="74"/>
  <c r="AJ20" i="74"/>
  <c r="AN20" i="74"/>
  <c r="M20" i="74"/>
  <c r="U41" i="74"/>
  <c r="A14" i="79" s="1"/>
  <c r="A13" i="79"/>
  <c r="AN9" i="74" l="1"/>
  <c r="BA9" i="74"/>
  <c r="AW9" i="74"/>
  <c r="AV9" i="74"/>
  <c r="AU9" i="74"/>
  <c r="AL9" i="74"/>
  <c r="AO9" i="74"/>
  <c r="AP9" i="74"/>
  <c r="AM9" i="74"/>
  <c r="AT9" i="74"/>
  <c r="AZ9" i="74"/>
  <c r="AQ9" i="74"/>
  <c r="AR9" i="74"/>
  <c r="AS9" i="74"/>
  <c r="AX9" i="74"/>
  <c r="AY9" i="74"/>
  <c r="AP19" i="74"/>
  <c r="AV19" i="74"/>
  <c r="AX19" i="74"/>
  <c r="AY19" i="74"/>
  <c r="AQ19" i="74"/>
  <c r="AU19" i="74"/>
  <c r="AZ19" i="74"/>
  <c r="AL19" i="74"/>
  <c r="AM19" i="74"/>
  <c r="AW19" i="74"/>
  <c r="BA19" i="74"/>
  <c r="AS19" i="74"/>
  <c r="AT19" i="74"/>
  <c r="AO19" i="74"/>
  <c r="AN19" i="74"/>
  <c r="AR19" i="74"/>
  <c r="AO14" i="74" l="1"/>
  <c r="AP14" i="74"/>
  <c r="AM14" i="74"/>
  <c r="AL14" i="74"/>
  <c r="AN14" i="74"/>
  <c r="AQ14" i="74" l="1"/>
  <c r="AR14" i="74" l="1"/>
  <c r="AS14" i="74" l="1"/>
  <c r="AT14" i="74" l="1"/>
  <c r="AU14" i="74" l="1"/>
  <c r="AV14" i="74" l="1"/>
  <c r="AW14" i="74" l="1"/>
  <c r="AX14" i="74" l="1"/>
  <c r="AY14" i="74" l="1"/>
  <c r="BA14" i="74" l="1"/>
  <c r="AZ14" i="74"/>
  <c r="M42" i="74" l="1"/>
  <c r="B6" i="79" s="1"/>
  <c r="T42" i="74"/>
  <c r="B13" i="79" s="1"/>
  <c r="R42" i="74"/>
  <c r="B11" i="79" s="1"/>
  <c r="N42" i="74"/>
  <c r="B7" i="79" s="1"/>
  <c r="O42" i="74"/>
  <c r="B8" i="79" s="1"/>
  <c r="P42" i="74"/>
  <c r="B9" i="79" s="1"/>
  <c r="J42" i="74"/>
  <c r="B3" i="79" s="1"/>
  <c r="S42" i="74"/>
  <c r="B12" i="79" s="1"/>
  <c r="Q42" i="74"/>
  <c r="B10" i="79" s="1"/>
  <c r="K42" i="74"/>
  <c r="B4" i="79" s="1"/>
  <c r="L42" i="74"/>
  <c r="B5" i="79" s="1"/>
  <c r="U42" i="74"/>
  <c r="B14" i="79" s="1"/>
  <c r="E63" i="81" l="1"/>
  <c r="R20" i="74" l="1"/>
  <c r="Q88" i="74"/>
  <c r="Z10" i="79" s="1"/>
  <c r="E58" i="81"/>
  <c r="U20" i="74" l="1"/>
  <c r="P88" i="74" s="1"/>
  <c r="Z9" i="79" s="1"/>
  <c r="O88" i="74" l="1"/>
  <c r="Z8" i="79" s="1"/>
  <c r="X12" i="74"/>
  <c r="T12" i="74"/>
  <c r="S20" i="74" l="1"/>
  <c r="N88" i="74" s="1"/>
  <c r="Z7" i="79" s="1"/>
  <c r="P20" i="74"/>
  <c r="W12" i="74"/>
  <c r="R63" i="74" s="1"/>
  <c r="T11" i="79" s="1"/>
  <c r="AA12" i="74"/>
  <c r="U12" i="74"/>
  <c r="P63" i="74" s="1"/>
  <c r="T9" i="79" s="1"/>
  <c r="AE12" i="74"/>
  <c r="AF12" i="74"/>
  <c r="AC12" i="74"/>
  <c r="AG12" i="74"/>
  <c r="Z12" i="74"/>
  <c r="U63" i="74" s="1"/>
  <c r="T14" i="79" s="1"/>
  <c r="AB12" i="74"/>
  <c r="N9" i="74"/>
  <c r="AE9" i="74"/>
  <c r="R12" i="74"/>
  <c r="M63" i="74" s="1"/>
  <c r="T6" i="79" s="1"/>
  <c r="Y12" i="74"/>
  <c r="AD12" i="74"/>
  <c r="AI12" i="74"/>
  <c r="S12" i="74"/>
  <c r="N63" i="74" s="1"/>
  <c r="T7" i="79" s="1"/>
  <c r="AJ12" i="74"/>
  <c r="AH12" i="74"/>
  <c r="O9" i="74"/>
  <c r="AK12" i="74"/>
  <c r="V12" i="74"/>
  <c r="Q63" i="74" s="1"/>
  <c r="T10" i="79" s="1"/>
  <c r="J12" i="74"/>
  <c r="Q20" i="74"/>
  <c r="L88" i="74" s="1"/>
  <c r="Z5" i="79" s="1"/>
  <c r="M88" i="74"/>
  <c r="Z6" i="79" s="1"/>
  <c r="R9" i="74"/>
  <c r="Y9" i="74"/>
  <c r="AG9" i="74"/>
  <c r="AF9" i="74"/>
  <c r="S9" i="74"/>
  <c r="AI9" i="74"/>
  <c r="W9" i="74"/>
  <c r="Q9" i="74"/>
  <c r="Z9" i="74"/>
  <c r="U9" i="74"/>
  <c r="P9" i="74"/>
  <c r="AA9" i="74"/>
  <c r="AB9" i="74"/>
  <c r="V9" i="74"/>
  <c r="T9" i="74"/>
  <c r="X9" i="74"/>
  <c r="AC9" i="74"/>
  <c r="AH9" i="74"/>
  <c r="AD9" i="74"/>
  <c r="AJ9" i="74"/>
  <c r="AK9" i="74"/>
  <c r="O63" i="74"/>
  <c r="T8" i="79" s="1"/>
  <c r="S63" i="74"/>
  <c r="T12" i="79" s="1"/>
  <c r="J8" i="74" l="1"/>
  <c r="L8" i="74"/>
  <c r="K8" i="74"/>
  <c r="I9" i="74"/>
  <c r="K9" i="74"/>
  <c r="M9" i="74"/>
  <c r="J9" i="74"/>
  <c r="L9" i="74"/>
  <c r="U8" i="74"/>
  <c r="Q8" i="74"/>
  <c r="P8" i="74"/>
  <c r="X19" i="74"/>
  <c r="S87" i="74" s="1"/>
  <c r="Y12" i="79" s="1"/>
  <c r="K19" i="74"/>
  <c r="R19" i="74"/>
  <c r="M87" i="74" s="1"/>
  <c r="Y6" i="79" s="1"/>
  <c r="Q19" i="74"/>
  <c r="L87" i="74" s="1"/>
  <c r="Y5" i="79" s="1"/>
  <c r="AA19" i="74"/>
  <c r="U10" i="74"/>
  <c r="P61" i="74" s="1"/>
  <c r="V9" i="79" s="1"/>
  <c r="N10" i="74"/>
  <c r="I61" i="74" s="1"/>
  <c r="Q12" i="74"/>
  <c r="I60" i="74"/>
  <c r="I67" i="74" s="1"/>
  <c r="G2" i="79" s="1"/>
  <c r="L10" i="74"/>
  <c r="Y10" i="74"/>
  <c r="M10" i="74"/>
  <c r="Q10" i="74"/>
  <c r="V10" i="74"/>
  <c r="Q61" i="74" s="1"/>
  <c r="V10" i="79" s="1"/>
  <c r="Z10" i="74"/>
  <c r="U61" i="74" s="1"/>
  <c r="V14" i="79" s="1"/>
  <c r="AE10" i="74"/>
  <c r="T63" i="74"/>
  <c r="T13" i="79" s="1"/>
  <c r="AC10" i="74"/>
  <c r="U60" i="74"/>
  <c r="R14" i="79" s="1"/>
  <c r="O60" i="74"/>
  <c r="R8" i="79" s="1"/>
  <c r="L60" i="74"/>
  <c r="R5" i="79" s="1"/>
  <c r="S60" i="74"/>
  <c r="R12" i="79" s="1"/>
  <c r="M60" i="74"/>
  <c r="R6" i="79" s="1"/>
  <c r="I88" i="74"/>
  <c r="Z2" i="79" s="1"/>
  <c r="K60" i="74"/>
  <c r="R4" i="79" s="1"/>
  <c r="R60" i="74"/>
  <c r="R11" i="79" s="1"/>
  <c r="K88" i="74"/>
  <c r="Z4" i="79" s="1"/>
  <c r="P60" i="74"/>
  <c r="R9" i="79" s="1"/>
  <c r="N60" i="74"/>
  <c r="R7" i="79" s="1"/>
  <c r="Q60" i="74"/>
  <c r="R10" i="79" s="1"/>
  <c r="T60" i="74"/>
  <c r="R13" i="79" s="1"/>
  <c r="J60" i="74"/>
  <c r="R3" i="79" s="1"/>
  <c r="K12" i="74"/>
  <c r="I8" i="74" l="1"/>
  <c r="O8" i="74"/>
  <c r="N8" i="74"/>
  <c r="I59" i="74" s="1"/>
  <c r="M8" i="74"/>
  <c r="F19" i="77"/>
  <c r="AH11" i="74"/>
  <c r="O11" i="74"/>
  <c r="P11" i="74"/>
  <c r="AA11" i="74"/>
  <c r="AF11" i="74"/>
  <c r="T11" i="74"/>
  <c r="O62" i="74" s="1"/>
  <c r="U8" i="79" s="1"/>
  <c r="S11" i="74"/>
  <c r="N62" i="74" s="1"/>
  <c r="U7" i="79" s="1"/>
  <c r="W11" i="74"/>
  <c r="R62" i="74" s="1"/>
  <c r="U11" i="79" s="1"/>
  <c r="AE11" i="74"/>
  <c r="R11" i="74"/>
  <c r="M62" i="74" s="1"/>
  <c r="U6" i="79" s="1"/>
  <c r="AC11" i="74"/>
  <c r="AD11" i="74"/>
  <c r="Z11" i="74"/>
  <c r="U62" i="74" s="1"/>
  <c r="U14" i="79" s="1"/>
  <c r="AK11" i="74"/>
  <c r="AI11" i="74"/>
  <c r="AB11" i="74"/>
  <c r="Y11" i="74"/>
  <c r="T62" i="74" s="1"/>
  <c r="U13" i="79" s="1"/>
  <c r="AF19" i="74"/>
  <c r="U19" i="74"/>
  <c r="P87" i="74" s="1"/>
  <c r="Y9" i="79" s="1"/>
  <c r="V19" i="74"/>
  <c r="Q87" i="74" s="1"/>
  <c r="Y10" i="79" s="1"/>
  <c r="J19" i="74"/>
  <c r="AK19" i="74"/>
  <c r="Z19" i="74"/>
  <c r="U87" i="74" s="1"/>
  <c r="Y14" i="79" s="1"/>
  <c r="S19" i="74"/>
  <c r="N87" i="74" s="1"/>
  <c r="Y7" i="79" s="1"/>
  <c r="AC19" i="74"/>
  <c r="M19" i="74"/>
  <c r="AB19" i="74"/>
  <c r="O19" i="74"/>
  <c r="J87" i="74" s="1"/>
  <c r="Y3" i="79" s="1"/>
  <c r="W19" i="74"/>
  <c r="R87" i="74" s="1"/>
  <c r="Y11" i="79" s="1"/>
  <c r="N19" i="74"/>
  <c r="I87" i="74" s="1"/>
  <c r="I94" i="74" s="1"/>
  <c r="N2" i="79" s="1"/>
  <c r="T19" i="74"/>
  <c r="O87" i="74" s="1"/>
  <c r="Y8" i="79" s="1"/>
  <c r="AE19" i="74"/>
  <c r="AH19" i="74"/>
  <c r="AG19" i="74"/>
  <c r="L19" i="74"/>
  <c r="AJ19" i="74"/>
  <c r="R2" i="79"/>
  <c r="AA10" i="74"/>
  <c r="S10" i="74"/>
  <c r="N61" i="74" s="1"/>
  <c r="V7" i="79" s="1"/>
  <c r="AI10" i="74"/>
  <c r="X10" i="74"/>
  <c r="S61" i="74" s="1"/>
  <c r="V12" i="79" s="1"/>
  <c r="AJ10" i="74"/>
  <c r="AB10" i="74"/>
  <c r="T61" i="74" s="1"/>
  <c r="V13" i="79" s="1"/>
  <c r="P10" i="74"/>
  <c r="K61" i="74" s="1"/>
  <c r="V4" i="79" s="1"/>
  <c r="K14" i="74"/>
  <c r="N17" i="74"/>
  <c r="I95" i="74"/>
  <c r="O2" i="79" s="1"/>
  <c r="I19" i="74"/>
  <c r="S67" i="74"/>
  <c r="G12" i="79" s="1"/>
  <c r="F60" i="74"/>
  <c r="J67" i="74"/>
  <c r="G3" i="79" s="1"/>
  <c r="M67" i="74"/>
  <c r="G6" i="79" s="1"/>
  <c r="O67" i="74"/>
  <c r="G8" i="79" s="1"/>
  <c r="N67" i="74"/>
  <c r="G7" i="79" s="1"/>
  <c r="U67" i="74"/>
  <c r="G14" i="79" s="1"/>
  <c r="R67" i="74"/>
  <c r="G11" i="79" s="1"/>
  <c r="Q67" i="74"/>
  <c r="G10" i="79" s="1"/>
  <c r="L67" i="74"/>
  <c r="G5" i="79" s="1"/>
  <c r="P67" i="74"/>
  <c r="G9" i="79" s="1"/>
  <c r="T67" i="74"/>
  <c r="G13" i="79" s="1"/>
  <c r="K67" i="74"/>
  <c r="G4" i="79" s="1"/>
  <c r="AI8" i="74"/>
  <c r="AJ8" i="74"/>
  <c r="AD8" i="74"/>
  <c r="AG8" i="74"/>
  <c r="AH8" i="74"/>
  <c r="AK8" i="74"/>
  <c r="AE8" i="74"/>
  <c r="AF8" i="74"/>
  <c r="AC8" i="74"/>
  <c r="I71" i="74"/>
  <c r="K2" i="79" s="1"/>
  <c r="V2" i="79"/>
  <c r="I12" i="74"/>
  <c r="R18" i="74"/>
  <c r="AA8" i="74"/>
  <c r="T8" i="74"/>
  <c r="R8" i="74"/>
  <c r="Y8" i="74"/>
  <c r="W8" i="74"/>
  <c r="X8" i="74"/>
  <c r="N12" i="74"/>
  <c r="Z8" i="74"/>
  <c r="P12" i="74"/>
  <c r="M12" i="74"/>
  <c r="L12" i="74"/>
  <c r="V8" i="74"/>
  <c r="O12" i="74"/>
  <c r="AB8" i="74"/>
  <c r="S8" i="74"/>
  <c r="M14" i="74" l="1"/>
  <c r="Q14" i="74"/>
  <c r="F9" i="74"/>
  <c r="AG11" i="74"/>
  <c r="V14" i="74"/>
  <c r="AH14" i="74"/>
  <c r="T14" i="74"/>
  <c r="AF14" i="74"/>
  <c r="O14" i="74"/>
  <c r="J14" i="74"/>
  <c r="AA14" i="74"/>
  <c r="U11" i="74"/>
  <c r="P62" i="74" s="1"/>
  <c r="U9" i="79" s="1"/>
  <c r="U14" i="74"/>
  <c r="Z14" i="74"/>
  <c r="S14" i="74"/>
  <c r="AC14" i="74"/>
  <c r="AB14" i="74"/>
  <c r="N11" i="74"/>
  <c r="I62" i="74" s="1"/>
  <c r="U2" i="79" s="1"/>
  <c r="N14" i="74"/>
  <c r="AE14" i="74"/>
  <c r="W14" i="74"/>
  <c r="P19" i="74"/>
  <c r="K87" i="74" s="1"/>
  <c r="Y4" i="79" s="1"/>
  <c r="Y19" i="74"/>
  <c r="T87" i="74" s="1"/>
  <c r="Y13" i="79" s="1"/>
  <c r="AI19" i="74"/>
  <c r="AD19" i="74"/>
  <c r="J62" i="74"/>
  <c r="U3" i="79" s="1"/>
  <c r="AZ17" i="74"/>
  <c r="P17" i="74"/>
  <c r="AQ17" i="74"/>
  <c r="AD10" i="74"/>
  <c r="T10" i="74"/>
  <c r="AG10" i="74"/>
  <c r="W10" i="74"/>
  <c r="R61" i="74" s="1"/>
  <c r="V11" i="79" s="1"/>
  <c r="AH10" i="74"/>
  <c r="O20" i="74"/>
  <c r="J88" i="74" s="1"/>
  <c r="AF10" i="74"/>
  <c r="K10" i="74"/>
  <c r="O10" i="74"/>
  <c r="J61" i="74" s="1"/>
  <c r="AV17" i="74"/>
  <c r="K62" i="74"/>
  <c r="U4" i="79" s="1"/>
  <c r="J94" i="74"/>
  <c r="N3" i="79" s="1"/>
  <c r="Y2" i="79"/>
  <c r="M59" i="74"/>
  <c r="I63" i="74"/>
  <c r="K63" i="74"/>
  <c r="T4" i="79" s="1"/>
  <c r="J63" i="74"/>
  <c r="T3" i="79" s="1"/>
  <c r="L63" i="74"/>
  <c r="T5" i="79" s="1"/>
  <c r="J10" i="74"/>
  <c r="U59" i="74"/>
  <c r="S14" i="79" s="1"/>
  <c r="N59" i="74"/>
  <c r="N65" i="74" s="1"/>
  <c r="P7" i="79" s="1"/>
  <c r="Q59" i="74"/>
  <c r="S10" i="79" s="1"/>
  <c r="P59" i="74"/>
  <c r="R59" i="74"/>
  <c r="S11" i="79" s="1"/>
  <c r="L59" i="74"/>
  <c r="J59" i="74"/>
  <c r="S2" i="79"/>
  <c r="I68" i="74"/>
  <c r="H2" i="79" s="1"/>
  <c r="K59" i="74"/>
  <c r="M86" i="74"/>
  <c r="X6" i="79" s="1"/>
  <c r="O59" i="74"/>
  <c r="S59" i="74"/>
  <c r="T59" i="74"/>
  <c r="S13" i="79" s="1"/>
  <c r="F22" i="77"/>
  <c r="R17" i="74"/>
  <c r="R22" i="74"/>
  <c r="T17" i="74"/>
  <c r="F12" i="74"/>
  <c r="L14" i="74"/>
  <c r="F8" i="74" l="1"/>
  <c r="R10" i="74"/>
  <c r="M61" i="74" s="1"/>
  <c r="V6" i="79" s="1"/>
  <c r="AG14" i="74"/>
  <c r="N18" i="74"/>
  <c r="I86" i="74" s="1"/>
  <c r="X2" i="79" s="1"/>
  <c r="V11" i="74"/>
  <c r="Q62" i="74" s="1"/>
  <c r="U10" i="79" s="1"/>
  <c r="R14" i="74"/>
  <c r="O18" i="74"/>
  <c r="J86" i="74" s="1"/>
  <c r="X3" i="79" s="1"/>
  <c r="S18" i="74"/>
  <c r="N86" i="74" s="1"/>
  <c r="X7" i="79" s="1"/>
  <c r="AZ18" i="74"/>
  <c r="U18" i="74"/>
  <c r="P86" i="74" s="1"/>
  <c r="X9" i="79" s="1"/>
  <c r="AQ18" i="74"/>
  <c r="I23" i="74"/>
  <c r="I28" i="74" s="1"/>
  <c r="I18" i="74"/>
  <c r="P18" i="74"/>
  <c r="K86" i="74" s="1"/>
  <c r="X4" i="79" s="1"/>
  <c r="T18" i="74"/>
  <c r="O86" i="74" s="1"/>
  <c r="X8" i="79" s="1"/>
  <c r="AV18" i="74"/>
  <c r="AI18" i="74"/>
  <c r="I70" i="74"/>
  <c r="J2" i="79" s="1"/>
  <c r="P65" i="74"/>
  <c r="P9" i="79" s="1"/>
  <c r="AI14" i="74"/>
  <c r="I65" i="74"/>
  <c r="P2" i="79" s="1"/>
  <c r="P14" i="74"/>
  <c r="AD14" i="74"/>
  <c r="X14" i="74"/>
  <c r="Y14" i="74"/>
  <c r="S17" i="74"/>
  <c r="N85" i="74" s="1"/>
  <c r="O17" i="74"/>
  <c r="J85" i="74" s="1"/>
  <c r="AG17" i="74"/>
  <c r="U17" i="74"/>
  <c r="P85" i="74" s="1"/>
  <c r="AB17" i="74"/>
  <c r="W17" i="74"/>
  <c r="R85" i="74" s="1"/>
  <c r="W11" i="79" s="1"/>
  <c r="L17" i="74"/>
  <c r="K17" i="74"/>
  <c r="J17" i="74"/>
  <c r="R94" i="74"/>
  <c r="N11" i="79" s="1"/>
  <c r="K94" i="74"/>
  <c r="N4" i="79" s="1"/>
  <c r="O94" i="74"/>
  <c r="N8" i="79" s="1"/>
  <c r="L94" i="74"/>
  <c r="N5" i="79" s="1"/>
  <c r="Q94" i="74"/>
  <c r="N10" i="79" s="1"/>
  <c r="N94" i="74"/>
  <c r="N7" i="79" s="1"/>
  <c r="P94" i="74"/>
  <c r="N9" i="79" s="1"/>
  <c r="S94" i="74"/>
  <c r="N12" i="79" s="1"/>
  <c r="U94" i="74"/>
  <c r="N14" i="79" s="1"/>
  <c r="T94" i="74"/>
  <c r="N13" i="79" s="1"/>
  <c r="J70" i="74"/>
  <c r="J3" i="79" s="1"/>
  <c r="M94" i="74"/>
  <c r="N6" i="79" s="1"/>
  <c r="AF17" i="74"/>
  <c r="AR17" i="74"/>
  <c r="N22" i="74"/>
  <c r="AC17" i="74"/>
  <c r="AI17" i="74"/>
  <c r="AE17" i="74"/>
  <c r="J71" i="74"/>
  <c r="K3" i="79" s="1"/>
  <c r="V3" i="79"/>
  <c r="K71" i="74"/>
  <c r="K4" i="79" s="1"/>
  <c r="AY17" i="74"/>
  <c r="AK14" i="74"/>
  <c r="AP17" i="74"/>
  <c r="AK10" i="74"/>
  <c r="AU17" i="74"/>
  <c r="AO17" i="74"/>
  <c r="L61" i="74"/>
  <c r="O61" i="74"/>
  <c r="V8" i="79" s="1"/>
  <c r="Q11" i="74"/>
  <c r="L62" i="74" s="1"/>
  <c r="U5" i="79" s="1"/>
  <c r="AJ14" i="74"/>
  <c r="F20" i="74"/>
  <c r="AJ11" i="74"/>
  <c r="Z3" i="79"/>
  <c r="K95" i="74"/>
  <c r="O4" i="79" s="1"/>
  <c r="R95" i="74"/>
  <c r="O11" i="79" s="1"/>
  <c r="S95" i="74"/>
  <c r="O12" i="79" s="1"/>
  <c r="J95" i="74"/>
  <c r="O3" i="79" s="1"/>
  <c r="O95" i="74"/>
  <c r="O8" i="79" s="1"/>
  <c r="P95" i="74"/>
  <c r="O9" i="79" s="1"/>
  <c r="T95" i="74"/>
  <c r="O13" i="79" s="1"/>
  <c r="Q95" i="74"/>
  <c r="O10" i="79" s="1"/>
  <c r="N95" i="74"/>
  <c r="O7" i="79" s="1"/>
  <c r="M95" i="74"/>
  <c r="O6" i="79" s="1"/>
  <c r="L95" i="74"/>
  <c r="O5" i="79" s="1"/>
  <c r="U95" i="74"/>
  <c r="O14" i="79" s="1"/>
  <c r="M17" i="74"/>
  <c r="AK17" i="74"/>
  <c r="I17" i="74"/>
  <c r="AV15" i="74"/>
  <c r="AV27" i="74" s="1"/>
  <c r="X11" i="74"/>
  <c r="S62" i="74" s="1"/>
  <c r="U12" i="79" s="1"/>
  <c r="K70" i="74"/>
  <c r="J4" i="79" s="1"/>
  <c r="I69" i="74"/>
  <c r="I2" i="79" s="1"/>
  <c r="L69" i="74"/>
  <c r="I5" i="79" s="1"/>
  <c r="Q69" i="74"/>
  <c r="I10" i="79" s="1"/>
  <c r="P69" i="74"/>
  <c r="I9" i="79" s="1"/>
  <c r="O69" i="74"/>
  <c r="I8" i="79" s="1"/>
  <c r="K69" i="74"/>
  <c r="I4" i="79" s="1"/>
  <c r="T2" i="79"/>
  <c r="S69" i="74"/>
  <c r="I12" i="79" s="1"/>
  <c r="S6" i="79"/>
  <c r="N69" i="74"/>
  <c r="I7" i="79" s="1"/>
  <c r="F63" i="74"/>
  <c r="M69" i="74"/>
  <c r="I6" i="79" s="1"/>
  <c r="R69" i="74"/>
  <c r="I11" i="79" s="1"/>
  <c r="U69" i="74"/>
  <c r="I14" i="79" s="1"/>
  <c r="J69" i="74"/>
  <c r="I3" i="79" s="1"/>
  <c r="T69" i="74"/>
  <c r="I13" i="79" s="1"/>
  <c r="U65" i="74"/>
  <c r="P14" i="79" s="1"/>
  <c r="AB15" i="74"/>
  <c r="AB27" i="74" s="1"/>
  <c r="AJ15" i="74"/>
  <c r="AJ27" i="74" s="1"/>
  <c r="W15" i="74"/>
  <c r="W27" i="74" s="1"/>
  <c r="AT15" i="74"/>
  <c r="AT27" i="74" s="1"/>
  <c r="AF15" i="74"/>
  <c r="AF27" i="74" s="1"/>
  <c r="AC15" i="74"/>
  <c r="AC27" i="74" s="1"/>
  <c r="AR15" i="74"/>
  <c r="AR27" i="74" s="1"/>
  <c r="P15" i="74"/>
  <c r="P27" i="74" s="1"/>
  <c r="X15" i="74"/>
  <c r="X27" i="74" s="1"/>
  <c r="R15" i="74"/>
  <c r="R27" i="74" s="1"/>
  <c r="AX15" i="74"/>
  <c r="AX27" i="74" s="1"/>
  <c r="AE15" i="74"/>
  <c r="AE27" i="74" s="1"/>
  <c r="AN15" i="74"/>
  <c r="AN27" i="74" s="1"/>
  <c r="AW15" i="74"/>
  <c r="AW27" i="74" s="1"/>
  <c r="AS15" i="74"/>
  <c r="AS27" i="74" s="1"/>
  <c r="BA15" i="74"/>
  <c r="BA27" i="74" s="1"/>
  <c r="AD15" i="74"/>
  <c r="AD27" i="74" s="1"/>
  <c r="Y15" i="74"/>
  <c r="Y27" i="74" s="1"/>
  <c r="S15" i="74"/>
  <c r="S27" i="74" s="1"/>
  <c r="AI15" i="74"/>
  <c r="AI27" i="74" s="1"/>
  <c r="AY15" i="74"/>
  <c r="AY27" i="74" s="1"/>
  <c r="AA15" i="74"/>
  <c r="AA27" i="74" s="1"/>
  <c r="AP15" i="74"/>
  <c r="AP27" i="74" s="1"/>
  <c r="AG15" i="74"/>
  <c r="AG27" i="74" s="1"/>
  <c r="AK15" i="74"/>
  <c r="AK27" i="74" s="1"/>
  <c r="AH15" i="74"/>
  <c r="AH27" i="74" s="1"/>
  <c r="AU15" i="74"/>
  <c r="AU27" i="74" s="1"/>
  <c r="V15" i="74"/>
  <c r="V27" i="74" s="1"/>
  <c r="AL15" i="74"/>
  <c r="AL27" i="74" s="1"/>
  <c r="AQ15" i="74"/>
  <c r="AQ27" i="74" s="1"/>
  <c r="AM15" i="74"/>
  <c r="AM27" i="74" s="1"/>
  <c r="AO15" i="74"/>
  <c r="AO27" i="74" s="1"/>
  <c r="AZ15" i="74"/>
  <c r="AZ27" i="74" s="1"/>
  <c r="T15" i="74"/>
  <c r="T27" i="74" s="1"/>
  <c r="Q15" i="74"/>
  <c r="Q27" i="74" s="1"/>
  <c r="U15" i="74"/>
  <c r="U27" i="74" s="1"/>
  <c r="Z15" i="74"/>
  <c r="Z27" i="74" s="1"/>
  <c r="I10" i="74"/>
  <c r="I14" i="74"/>
  <c r="I15" i="74"/>
  <c r="I27" i="74" s="1"/>
  <c r="J15" i="74"/>
  <c r="J27" i="74" s="1"/>
  <c r="K15" i="74"/>
  <c r="K27" i="74" s="1"/>
  <c r="L15" i="74"/>
  <c r="L27" i="74" s="1"/>
  <c r="M15" i="74"/>
  <c r="M27" i="74" s="1"/>
  <c r="N15" i="74"/>
  <c r="N27" i="74" s="1"/>
  <c r="O15" i="74"/>
  <c r="O27" i="74" s="1"/>
  <c r="S9" i="79"/>
  <c r="S7" i="79"/>
  <c r="S12" i="79"/>
  <c r="O68" i="74"/>
  <c r="H8" i="79" s="1"/>
  <c r="R65" i="74"/>
  <c r="P11" i="79" s="1"/>
  <c r="T65" i="74"/>
  <c r="P13" i="79" s="1"/>
  <c r="Q68" i="74"/>
  <c r="H10" i="79" s="1"/>
  <c r="N68" i="74"/>
  <c r="H7" i="79" s="1"/>
  <c r="S5" i="79"/>
  <c r="P68" i="74"/>
  <c r="H9" i="79" s="1"/>
  <c r="S68" i="74"/>
  <c r="H12" i="79" s="1"/>
  <c r="M85" i="74"/>
  <c r="W6" i="79" s="1"/>
  <c r="S4" i="79"/>
  <c r="K65" i="74"/>
  <c r="P4" i="79" s="1"/>
  <c r="J68" i="74"/>
  <c r="H3" i="79" s="1"/>
  <c r="S3" i="79"/>
  <c r="K68" i="74"/>
  <c r="H4" i="79" s="1"/>
  <c r="J65" i="74"/>
  <c r="P3" i="79" s="1"/>
  <c r="F59" i="74"/>
  <c r="U68" i="74"/>
  <c r="H14" i="79" s="1"/>
  <c r="T68" i="74"/>
  <c r="H13" i="79" s="1"/>
  <c r="M68" i="74"/>
  <c r="H6" i="79" s="1"/>
  <c r="K85" i="74"/>
  <c r="W4" i="79" s="1"/>
  <c r="S8" i="79"/>
  <c r="R68" i="74"/>
  <c r="H11" i="79" s="1"/>
  <c r="O85" i="74"/>
  <c r="W8" i="79" s="1"/>
  <c r="I85" i="74"/>
  <c r="L68" i="74"/>
  <c r="H5" i="79" s="1"/>
  <c r="M65" i="74" l="1"/>
  <c r="P6" i="79" s="1"/>
  <c r="N71" i="74"/>
  <c r="K7" i="79" s="1"/>
  <c r="I93" i="74"/>
  <c r="M2" i="79" s="1"/>
  <c r="Q65" i="74"/>
  <c r="P10" i="79" s="1"/>
  <c r="S22" i="74"/>
  <c r="J93" i="74"/>
  <c r="M3" i="79" s="1"/>
  <c r="T22" i="74"/>
  <c r="AZ22" i="74"/>
  <c r="K93" i="74"/>
  <c r="M4" i="79" s="1"/>
  <c r="P90" i="74"/>
  <c r="Q9" i="79" s="1"/>
  <c r="N90" i="74"/>
  <c r="Q7" i="79" s="1"/>
  <c r="AI22" i="74"/>
  <c r="U22" i="74"/>
  <c r="AG18" i="74"/>
  <c r="AD18" i="74"/>
  <c r="X18" i="74"/>
  <c r="S86" i="74" s="1"/>
  <c r="X12" i="79" s="1"/>
  <c r="AT18" i="74"/>
  <c r="AR18" i="74"/>
  <c r="M18" i="74"/>
  <c r="AO18" i="74"/>
  <c r="AJ18" i="74"/>
  <c r="AL18" i="74"/>
  <c r="AU18" i="74"/>
  <c r="BA18" i="74"/>
  <c r="AF18" i="74"/>
  <c r="V18" i="74"/>
  <c r="Q86" i="74" s="1"/>
  <c r="X10" i="79" s="1"/>
  <c r="AY18" i="74"/>
  <c r="AC18" i="74"/>
  <c r="AK18" i="74"/>
  <c r="AE18" i="74"/>
  <c r="AP18" i="74"/>
  <c r="AW18" i="74"/>
  <c r="Q18" i="74"/>
  <c r="L86" i="74" s="1"/>
  <c r="F33" i="77"/>
  <c r="AD17" i="74"/>
  <c r="AS17" i="74"/>
  <c r="X17" i="74"/>
  <c r="S85" i="74" s="1"/>
  <c r="W12" i="79" s="1"/>
  <c r="BA17" i="74"/>
  <c r="Q17" i="74"/>
  <c r="L85" i="74" s="1"/>
  <c r="Z17" i="74"/>
  <c r="U85" i="74" s="1"/>
  <c r="W14" i="79" s="1"/>
  <c r="AM17" i="74"/>
  <c r="V17" i="74"/>
  <c r="Q85" i="74" s="1"/>
  <c r="AA17" i="74"/>
  <c r="Y17" i="74"/>
  <c r="T85" i="74" s="1"/>
  <c r="W13" i="79" s="1"/>
  <c r="O22" i="74"/>
  <c r="F11" i="74"/>
  <c r="F21" i="77"/>
  <c r="F19" i="74"/>
  <c r="L70" i="74"/>
  <c r="J5" i="79" s="1"/>
  <c r="R70" i="74"/>
  <c r="J11" i="79" s="1"/>
  <c r="N70" i="74"/>
  <c r="J7" i="79" s="1"/>
  <c r="P70" i="74"/>
  <c r="J9" i="79" s="1"/>
  <c r="L65" i="74"/>
  <c r="P5" i="79" s="1"/>
  <c r="O65" i="74"/>
  <c r="P8" i="79" s="1"/>
  <c r="O70" i="74"/>
  <c r="J8" i="79" s="1"/>
  <c r="M70" i="74"/>
  <c r="J6" i="79" s="1"/>
  <c r="V5" i="79"/>
  <c r="R71" i="74"/>
  <c r="K11" i="79" s="1"/>
  <c r="T71" i="74"/>
  <c r="K13" i="79" s="1"/>
  <c r="F61" i="74"/>
  <c r="O71" i="74"/>
  <c r="K8" i="79" s="1"/>
  <c r="U71" i="74"/>
  <c r="K14" i="79" s="1"/>
  <c r="S71" i="74"/>
  <c r="K12" i="79" s="1"/>
  <c r="Q71" i="74"/>
  <c r="K10" i="79" s="1"/>
  <c r="P71" i="74"/>
  <c r="K9" i="79" s="1"/>
  <c r="M71" i="74"/>
  <c r="K6" i="79" s="1"/>
  <c r="AW17" i="74"/>
  <c r="AT17" i="74"/>
  <c r="AH18" i="74"/>
  <c r="L71" i="74"/>
  <c r="K5" i="79" s="1"/>
  <c r="AJ17" i="74"/>
  <c r="AL17" i="74"/>
  <c r="F35" i="77"/>
  <c r="AN17" i="74"/>
  <c r="AX17" i="74"/>
  <c r="Q70" i="74"/>
  <c r="J10" i="79" s="1"/>
  <c r="S70" i="74"/>
  <c r="J12" i="79" s="1"/>
  <c r="F62" i="74"/>
  <c r="T70" i="74"/>
  <c r="J13" i="79" s="1"/>
  <c r="U70" i="74"/>
  <c r="J14" i="79" s="1"/>
  <c r="S65" i="74"/>
  <c r="P12" i="79" s="1"/>
  <c r="M44" i="74"/>
  <c r="C6" i="79" s="1"/>
  <c r="Q44" i="74"/>
  <c r="C10" i="79" s="1"/>
  <c r="S44" i="74"/>
  <c r="C12" i="79" s="1"/>
  <c r="N44" i="74"/>
  <c r="C7" i="79" s="1"/>
  <c r="R44" i="74"/>
  <c r="C11" i="79" s="1"/>
  <c r="P44" i="74"/>
  <c r="C9" i="79" s="1"/>
  <c r="K44" i="74"/>
  <c r="C4" i="79" s="1"/>
  <c r="U44" i="74"/>
  <c r="C14" i="79" s="1"/>
  <c r="I44" i="74"/>
  <c r="C2" i="79" s="1"/>
  <c r="L44" i="74"/>
  <c r="C5" i="79" s="1"/>
  <c r="O44" i="74"/>
  <c r="C8" i="79" s="1"/>
  <c r="T44" i="74"/>
  <c r="C13" i="79" s="1"/>
  <c r="J44" i="74"/>
  <c r="C3" i="79" s="1"/>
  <c r="F10" i="74"/>
  <c r="F49" i="77"/>
  <c r="F43" i="77"/>
  <c r="W7" i="79"/>
  <c r="M90" i="74"/>
  <c r="Q6" i="79" s="1"/>
  <c r="K92" i="74"/>
  <c r="L4" i="79" s="1"/>
  <c r="W9" i="79"/>
  <c r="O90" i="74"/>
  <c r="Q8" i="79" s="1"/>
  <c r="K90" i="74"/>
  <c r="Q4" i="79" s="1"/>
  <c r="W3" i="79"/>
  <c r="J90" i="74"/>
  <c r="Q3" i="79" s="1"/>
  <c r="J92" i="74"/>
  <c r="L3" i="79" s="1"/>
  <c r="I92" i="74"/>
  <c r="L2" i="79" s="1"/>
  <c r="I90" i="74"/>
  <c r="Q2" i="79" s="1"/>
  <c r="W2" i="79"/>
  <c r="P22" i="74"/>
  <c r="F18" i="77"/>
  <c r="I22" i="74" l="1"/>
  <c r="AQ22" i="74"/>
  <c r="AK22" i="74"/>
  <c r="AJ22" i="74"/>
  <c r="Q90" i="74"/>
  <c r="Q10" i="79" s="1"/>
  <c r="AV22" i="74"/>
  <c r="AE22" i="74"/>
  <c r="AB18" i="74"/>
  <c r="W18" i="74"/>
  <c r="R86" i="74" s="1"/>
  <c r="S93" i="74" s="1"/>
  <c r="M12" i="79" s="1"/>
  <c r="AN18" i="74"/>
  <c r="AA18" i="74"/>
  <c r="K18" i="74"/>
  <c r="Y18" i="74"/>
  <c r="T86" i="74" s="1"/>
  <c r="X13" i="79" s="1"/>
  <c r="AX18" i="74"/>
  <c r="AM18" i="74"/>
  <c r="X5" i="79"/>
  <c r="N93" i="74"/>
  <c r="M7" i="79" s="1"/>
  <c r="O93" i="74"/>
  <c r="M8" i="79" s="1"/>
  <c r="Q93" i="74"/>
  <c r="M10" i="79" s="1"/>
  <c r="L93" i="74"/>
  <c r="M5" i="79" s="1"/>
  <c r="P93" i="74"/>
  <c r="M9" i="79" s="1"/>
  <c r="M93" i="74"/>
  <c r="M6" i="79" s="1"/>
  <c r="L18" i="74"/>
  <c r="L90" i="74"/>
  <c r="Q5" i="79" s="1"/>
  <c r="AS18" i="74"/>
  <c r="Z18" i="74"/>
  <c r="U86" i="74" s="1"/>
  <c r="X14" i="79" s="1"/>
  <c r="O92" i="74"/>
  <c r="L8" i="79" s="1"/>
  <c r="W5" i="79"/>
  <c r="M92" i="74"/>
  <c r="L6" i="79" s="1"/>
  <c r="S90" i="74"/>
  <c r="Q12" i="79" s="1"/>
  <c r="U92" i="74"/>
  <c r="L14" i="79" s="1"/>
  <c r="W10" i="79"/>
  <c r="N92" i="74"/>
  <c r="L7" i="79" s="1"/>
  <c r="X22" i="74"/>
  <c r="P92" i="74"/>
  <c r="L9" i="79" s="1"/>
  <c r="L92" i="74"/>
  <c r="L5" i="79" s="1"/>
  <c r="R92" i="74"/>
  <c r="L11" i="79" s="1"/>
  <c r="Q92" i="74"/>
  <c r="L10" i="79" s="1"/>
  <c r="T92" i="74"/>
  <c r="L13" i="79" s="1"/>
  <c r="S92" i="74"/>
  <c r="L12" i="79" s="1"/>
  <c r="V22" i="74"/>
  <c r="F34" i="77"/>
  <c r="AF22" i="74"/>
  <c r="AO22" i="74"/>
  <c r="AP22" i="74"/>
  <c r="AR22" i="74"/>
  <c r="AD22" i="74"/>
  <c r="AL22" i="74"/>
  <c r="F14" i="74"/>
  <c r="AC22" i="74" l="1"/>
  <c r="AY22" i="74"/>
  <c r="Q22" i="74"/>
  <c r="AU22" i="74"/>
  <c r="BA22" i="74"/>
  <c r="AW22" i="74"/>
  <c r="T23" i="74"/>
  <c r="T28" i="74" s="1"/>
  <c r="O45" i="74" s="1"/>
  <c r="D8" i="79" s="1"/>
  <c r="E8" i="79" s="1"/>
  <c r="AM22" i="74"/>
  <c r="O23" i="74"/>
  <c r="O28" i="74" s="1"/>
  <c r="J45" i="74" s="1"/>
  <c r="D3" i="79" s="1"/>
  <c r="F3" i="79" s="1"/>
  <c r="V23" i="74"/>
  <c r="V28" i="74" s="1"/>
  <c r="Q45" i="74" s="1"/>
  <c r="D10" i="79" s="1"/>
  <c r="E10" i="79" s="1"/>
  <c r="U93" i="74"/>
  <c r="M14" i="79" s="1"/>
  <c r="AF23" i="74"/>
  <c r="AF28" i="74" s="1"/>
  <c r="Q23" i="74"/>
  <c r="Q28" i="74" s="1"/>
  <c r="L45" i="74" s="1"/>
  <c r="D5" i="79" s="1"/>
  <c r="F5" i="79" s="1"/>
  <c r="AG23" i="74"/>
  <c r="AG28" i="74" s="1"/>
  <c r="AT22" i="74"/>
  <c r="X23" i="74"/>
  <c r="X28" i="74" s="1"/>
  <c r="S45" i="74" s="1"/>
  <c r="D12" i="79" s="1"/>
  <c r="E12" i="79" s="1"/>
  <c r="Y22" i="74"/>
  <c r="R93" i="74"/>
  <c r="M11" i="79" s="1"/>
  <c r="AA23" i="74"/>
  <c r="AA28" i="74" s="1"/>
  <c r="M22" i="74"/>
  <c r="U90" i="74"/>
  <c r="Q14" i="79" s="1"/>
  <c r="AB23" i="74"/>
  <c r="AB28" i="74" s="1"/>
  <c r="P23" i="74"/>
  <c r="P28" i="74" s="1"/>
  <c r="K45" i="74" s="1"/>
  <c r="D4" i="79" s="1"/>
  <c r="E4" i="79" s="1"/>
  <c r="Y23" i="74"/>
  <c r="Y28" i="74" s="1"/>
  <c r="T45" i="74" s="1"/>
  <c r="D13" i="79" s="1"/>
  <c r="F13" i="79" s="1"/>
  <c r="L23" i="74"/>
  <c r="L28" i="74" s="1"/>
  <c r="Z23" i="74"/>
  <c r="Z28" i="74" s="1"/>
  <c r="U45" i="74" s="1"/>
  <c r="D14" i="79" s="1"/>
  <c r="F14" i="79" s="1"/>
  <c r="T90" i="74"/>
  <c r="Q13" i="79" s="1"/>
  <c r="AS22" i="74"/>
  <c r="M23" i="74"/>
  <c r="M28" i="74" s="1"/>
  <c r="U23" i="74"/>
  <c r="U28" i="74" s="1"/>
  <c r="P45" i="74" s="1"/>
  <c r="D9" i="79" s="1"/>
  <c r="F9" i="79" s="1"/>
  <c r="K23" i="74"/>
  <c r="K28" i="74" s="1"/>
  <c r="AD23" i="74"/>
  <c r="AD28" i="74" s="1"/>
  <c r="AC23" i="74"/>
  <c r="AC28" i="74" s="1"/>
  <c r="S23" i="74"/>
  <c r="S28" i="74" s="1"/>
  <c r="N45" i="74" s="1"/>
  <c r="D7" i="79" s="1"/>
  <c r="E7" i="79" s="1"/>
  <c r="R23" i="74"/>
  <c r="R28" i="74" s="1"/>
  <c r="M45" i="74" s="1"/>
  <c r="D6" i="79" s="1"/>
  <c r="E6" i="79" s="1"/>
  <c r="T93" i="74"/>
  <c r="M13" i="79" s="1"/>
  <c r="AE23" i="74"/>
  <c r="AE28" i="74" s="1"/>
  <c r="N23" i="74"/>
  <c r="N28" i="74" s="1"/>
  <c r="I45" i="74" s="1"/>
  <c r="D2" i="79" s="1"/>
  <c r="E2" i="79" s="1"/>
  <c r="X11" i="79"/>
  <c r="R90" i="74"/>
  <c r="Q11" i="79" s="1"/>
  <c r="AG22" i="74"/>
  <c r="J18" i="74"/>
  <c r="J23" i="74"/>
  <c r="J28" i="74" s="1"/>
  <c r="W23" i="74"/>
  <c r="W28" i="74" s="1"/>
  <c r="R45" i="74" s="1"/>
  <c r="D11" i="79" s="1"/>
  <c r="F11" i="79" s="1"/>
  <c r="AB22" i="74"/>
  <c r="Z22" i="74"/>
  <c r="AH23" i="74"/>
  <c r="AH28" i="74" s="1"/>
  <c r="AP23" i="74"/>
  <c r="AP28" i="74" s="1"/>
  <c r="AY23" i="74"/>
  <c r="AY28" i="74" s="1"/>
  <c r="AZ23" i="74"/>
  <c r="AZ28" i="74" s="1"/>
  <c r="AR23" i="74"/>
  <c r="AR28" i="74" s="1"/>
  <c r="AT23" i="74"/>
  <c r="AT28" i="74" s="1"/>
  <c r="AN23" i="74"/>
  <c r="AN28" i="74" s="1"/>
  <c r="AX23" i="74"/>
  <c r="AX28" i="74" s="1"/>
  <c r="AK23" i="74"/>
  <c r="AK28" i="74" s="1"/>
  <c r="AW23" i="74"/>
  <c r="AW28" i="74" s="1"/>
  <c r="AJ23" i="74"/>
  <c r="AJ28" i="74" s="1"/>
  <c r="AI23" i="74"/>
  <c r="AI28" i="74" s="1"/>
  <c r="AL23" i="74"/>
  <c r="AL28" i="74" s="1"/>
  <c r="AQ23" i="74"/>
  <c r="AQ28" i="74" s="1"/>
  <c r="AV23" i="74"/>
  <c r="AV28" i="74" s="1"/>
  <c r="AO23" i="74"/>
  <c r="AO28" i="74" s="1"/>
  <c r="BA23" i="74"/>
  <c r="BA28" i="74" s="1"/>
  <c r="AS23" i="74"/>
  <c r="AS28" i="74" s="1"/>
  <c r="AU23" i="74"/>
  <c r="AU28" i="74" s="1"/>
  <c r="AM23" i="74"/>
  <c r="AM28" i="74" s="1"/>
  <c r="AH17" i="74"/>
  <c r="AX22" i="74"/>
  <c r="AN22" i="74"/>
  <c r="F20" i="77"/>
  <c r="AA22" i="74" l="1"/>
  <c r="K22" i="74"/>
  <c r="E5" i="79"/>
  <c r="F10" i="79"/>
  <c r="F8" i="79"/>
  <c r="F12" i="79"/>
  <c r="F6" i="79"/>
  <c r="E9" i="79"/>
  <c r="E13" i="79"/>
  <c r="E3" i="79"/>
  <c r="L22" i="74"/>
  <c r="E14" i="79"/>
  <c r="J22" i="74"/>
  <c r="F2" i="79"/>
  <c r="F4" i="79"/>
  <c r="F18" i="74"/>
  <c r="W22" i="74"/>
  <c r="E11" i="79"/>
  <c r="F7" i="79"/>
  <c r="AH22" i="74"/>
  <c r="F17" i="74"/>
  <c r="F26" i="77"/>
  <c r="F24" i="77"/>
  <c r="F32" i="77" l="1"/>
  <c r="F39" i="77"/>
  <c r="F37" i="77"/>
  <c r="F8" i="77"/>
  <c r="F12" i="77"/>
  <c r="F22" i="74"/>
  <c r="F52" i="77" l="1"/>
  <c r="F50" i="77" l="1"/>
  <c r="F53" i="77"/>
  <c r="F47" i="77"/>
  <c r="F46" i="77"/>
  <c r="F44" i="77"/>
</calcChain>
</file>

<file path=xl/sharedStrings.xml><?xml version="1.0" encoding="utf-8"?>
<sst xmlns="http://schemas.openxmlformats.org/spreadsheetml/2006/main" count="458" uniqueCount="237">
  <si>
    <t>[PROJECT NAME]</t>
  </si>
  <si>
    <t>[CLIENT]</t>
  </si>
  <si>
    <t>Benefit Cost Analysis Model</t>
  </si>
  <si>
    <t xml:space="preserve">This model contains all calculations used in the Benefit Cost Analysis for this project. The legend below provides guidance on the role of each tab, and the meaning of different colors and shading throughout the model. </t>
  </si>
  <si>
    <t xml:space="preserve">Sensitivity analysis may be performed by adjusting values in the lime green and orange tabs. The remaining tabs are for calculation purposes only. </t>
  </si>
  <si>
    <t>Tab Reference</t>
  </si>
  <si>
    <t>Aqua Shading - Intro Materials</t>
  </si>
  <si>
    <t>Lime Green Shading - Standard Input Values, reflecting guidance from USDOT and other sources</t>
  </si>
  <si>
    <t>Orange Shading - Project Input Values, reflecting project-specific information</t>
  </si>
  <si>
    <t>Light Pink Shading - Calculations</t>
  </si>
  <si>
    <t>Purple Shading - Aggregated Costs and Benefits (Quantified)</t>
  </si>
  <si>
    <t>Green Shading - Aggregated Costs and Benefits (Monetized)</t>
  </si>
  <si>
    <t>Blue Shading - Output Tables and Charts</t>
  </si>
  <si>
    <t>Cell Reference</t>
  </si>
  <si>
    <t>Light Green Cell Shading - Model Owner Input Value</t>
  </si>
  <si>
    <t>Light Yellow Cell Shading - User Input Value</t>
  </si>
  <si>
    <t>Blue Text - Input from Another Sheet</t>
  </si>
  <si>
    <t>Red Text - Exported to Another Sheet</t>
  </si>
  <si>
    <t>Estimated Operations Cost per Revenue-Hour</t>
  </si>
  <si>
    <t>Number of Buses to be Retrofitted with Automation Equipment</t>
  </si>
  <si>
    <t>Number of Operational Cycles per Day</t>
  </si>
  <si>
    <t>Service Days per Year</t>
  </si>
  <si>
    <t>Average Hourly Rate - Vehicle Operators (2019$/hour)</t>
  </si>
  <si>
    <t>Average Hourly Rate - Maintenance Staff (2019$/hour)</t>
  </si>
  <si>
    <t>Area of Single Bus Parking Space (square footage)</t>
  </si>
  <si>
    <t>Number of Wireless Bus Chargers in Use at Bus Maintenance Facility</t>
  </si>
  <si>
    <r>
      <t>Scheduled Start Year for Equipment Installation</t>
    </r>
    <r>
      <rPr>
        <b/>
        <i/>
        <sz val="11"/>
        <color theme="1"/>
        <rFont val="Calibri"/>
        <family val="2"/>
      </rPr>
      <t xml:space="preserve"> - Phase 1</t>
    </r>
  </si>
  <si>
    <r>
      <t>Duration of Equipment Installation (years)</t>
    </r>
    <r>
      <rPr>
        <b/>
        <i/>
        <sz val="11"/>
        <color theme="1"/>
        <rFont val="Calibri"/>
        <family val="2"/>
      </rPr>
      <t xml:space="preserve"> - Phase 1</t>
    </r>
  </si>
  <si>
    <t>Number of Bus Retrofitted in Phase 1</t>
  </si>
  <si>
    <r>
      <t>Scheduled Start Year for Equipment Installation</t>
    </r>
    <r>
      <rPr>
        <b/>
        <i/>
        <sz val="11"/>
        <color theme="1"/>
        <rFont val="Calibri"/>
        <family val="2"/>
      </rPr>
      <t xml:space="preserve"> - Phase 2</t>
    </r>
  </si>
  <si>
    <r>
      <t>Duration of Equipment Installation (years)</t>
    </r>
    <r>
      <rPr>
        <b/>
        <i/>
        <sz val="11"/>
        <color theme="1"/>
        <rFont val="Calibri"/>
        <family val="2"/>
      </rPr>
      <t xml:space="preserve"> - Phase 2</t>
    </r>
  </si>
  <si>
    <t>Number of Bus Retrofitted in Phase 2</t>
  </si>
  <si>
    <r>
      <t>Scheduled Start Year for Equipment Installation</t>
    </r>
    <r>
      <rPr>
        <b/>
        <i/>
        <sz val="11"/>
        <color theme="1"/>
        <rFont val="Calibri"/>
        <family val="2"/>
      </rPr>
      <t xml:space="preserve"> - Phase 3</t>
    </r>
  </si>
  <si>
    <r>
      <t>Duration of Equipment Installation (years)</t>
    </r>
    <r>
      <rPr>
        <b/>
        <i/>
        <sz val="11"/>
        <color theme="1"/>
        <rFont val="Calibri"/>
        <family val="2"/>
      </rPr>
      <t xml:space="preserve"> - Phase 3</t>
    </r>
  </si>
  <si>
    <t>Number of Bus Retrofitted in Phase 3</t>
  </si>
  <si>
    <t>Scheduled Start Year for Equipment Installation - Phase 4</t>
  </si>
  <si>
    <t>Duration of Equipment Installation (years) - Phase 4</t>
  </si>
  <si>
    <t>Number of Bus Retrofitted in Phase 4</t>
  </si>
  <si>
    <t>Scheduled Start Year for Equipment Installation - Phase 5</t>
  </si>
  <si>
    <t>Duration of Equipment Installation (years) - Phase 5</t>
  </si>
  <si>
    <t>Number of Bus Retrofitted in Phase 5</t>
  </si>
  <si>
    <t>EXPORT TO DASHBOARD</t>
  </si>
  <si>
    <t>12-Year Horizon Chart Data Table</t>
  </si>
  <si>
    <t>Cumulative Discounted Benefits and Costs Chart</t>
  </si>
  <si>
    <t>First Construction Year</t>
  </si>
  <si>
    <t>Year</t>
  </si>
  <si>
    <t>First Analysis Year</t>
  </si>
  <si>
    <t>Construction Period Length</t>
  </si>
  <si>
    <t>Operations Period Length</t>
  </si>
  <si>
    <t>Analysis Length (Including Construction)</t>
  </si>
  <si>
    <t>Analysis Schedule Year</t>
  </si>
  <si>
    <t>Analysis Calendar Year</t>
  </si>
  <si>
    <t>Cumulative Discounted Benefits</t>
  </si>
  <si>
    <t>Cumulative Discounted Costs</t>
  </si>
  <si>
    <t>Cumulative Benefits by Category Chart</t>
  </si>
  <si>
    <t>Total Benefits</t>
  </si>
  <si>
    <t>Annual Costs by Category Chart</t>
  </si>
  <si>
    <t>Total Costs</t>
  </si>
  <si>
    <t>Net Present Value</t>
  </si>
  <si>
    <t>Benefit-Cost Ratio</t>
  </si>
  <si>
    <t>Operational Time Savings - Maintenance Staff</t>
  </si>
  <si>
    <t>Operational Time Savings - Vehicle Operators</t>
  </si>
  <si>
    <t>Liability and Casualty Cost Savings</t>
  </si>
  <si>
    <t>Safety Benefits</t>
  </si>
  <si>
    <t>Operational Vehicle Cost Savings</t>
  </si>
  <si>
    <t>Capital Costs</t>
  </si>
  <si>
    <t>O&amp;M Costs</t>
  </si>
  <si>
    <t>Facility Cost Savings</t>
  </si>
  <si>
    <t>Charge Management System Cost Savings</t>
  </si>
  <si>
    <t>Discounted Benefits (By Year)</t>
  </si>
  <si>
    <t>Discounted Costs (By Year)</t>
  </si>
  <si>
    <t>Operational Time Savings - Maintenance Staff (By Year)</t>
  </si>
  <si>
    <t>Operational Time Savings - Vehicle Operators (By Year)</t>
  </si>
  <si>
    <t>Liability and Casualty Cost Savings (By Year)</t>
  </si>
  <si>
    <t>Safety Benefits (By Year)</t>
  </si>
  <si>
    <t>Operational Vehicle Cost Savings (By Year)</t>
  </si>
  <si>
    <t>Capital Costs (By Year)</t>
  </si>
  <si>
    <t>O&amp;M Costs (By Year)</t>
  </si>
  <si>
    <t>Facility Cost Savings (By Year)</t>
  </si>
  <si>
    <t>Charge Management System Cost Savings (By Year)</t>
  </si>
  <si>
    <t>Automated Bus Yard - Benefit-Cost Analysis: Project Information Input</t>
  </si>
  <si>
    <t>Automated Bus Yard - Benefit-Cost Analysis: Project Information Input Sheet</t>
  </si>
  <si>
    <t>Please provide the information about the client agency and their projected plan for retrofitting their bus fleet with the automation technologies. The results of the benefit-cost analysis based on the input data are automatically calculated and illustrated in the "Quick Summary" tab.</t>
  </si>
  <si>
    <t>AGENCY INFORMATION</t>
  </si>
  <si>
    <t>Client Agency Name</t>
  </si>
  <si>
    <t>CapMetro, Austin, TX</t>
  </si>
  <si>
    <t>Agency Size Characteristics</t>
  </si>
  <si>
    <t>Medium Metropolitan Agenices (25M&gt;&lt;50M annual passengers)</t>
  </si>
  <si>
    <r>
      <t>Please select appropriate comparative agency size (</t>
    </r>
    <r>
      <rPr>
        <i/>
        <sz val="11"/>
        <color rgb="FFFF0000"/>
        <rFont val="Calibri"/>
        <family val="2"/>
        <scheme val="minor"/>
      </rPr>
      <t>https://www.capmetro.org/about/performance-dashboard and based on 2024 YTD data from Capmetro</t>
    </r>
    <r>
      <rPr>
        <i/>
        <sz val="11"/>
        <color theme="1"/>
        <rFont val="Calibri"/>
        <family val="2"/>
        <scheme val="minor"/>
      </rPr>
      <t>)</t>
    </r>
  </si>
  <si>
    <t>OPERATIONAL FACTORS</t>
  </si>
  <si>
    <t>If other, please state here:</t>
  </si>
  <si>
    <t>Number of Buses to be Retrofitted with Automation Equipment (based on retrofit schedule)</t>
  </si>
  <si>
    <t>Bus Yard Full Capacity</t>
  </si>
  <si>
    <r>
      <t xml:space="preserve">If other, please state here: </t>
    </r>
    <r>
      <rPr>
        <i/>
        <sz val="11"/>
        <color rgb="FFFF0000"/>
        <rFont val="Calibri"/>
        <family val="2"/>
        <scheme val="minor"/>
      </rPr>
      <t>(Capmetro's input)</t>
    </r>
  </si>
  <si>
    <t>INPUT FACTORS - OPERATIONAL TIME SAVINGS</t>
  </si>
  <si>
    <t>The analysis calculates the monetized value of increased staff productivity as labor cost savings based on the average national hourly rate for Bus Operators provided by the Bureau of Labor Statistics and the cost of fringe benenefits provided by the Federal Transit Administration. Changing the "Staff Labor Flag" from "Yes" to "No" will remove the labor time savings from the results and subject to client preference.</t>
  </si>
  <si>
    <t>Benefits Multiplication factor (NTD database data for Capital Metro)</t>
  </si>
  <si>
    <t>Average Hourly Rate - Vehicle Operators (2024$/hour) - (Capmetro's input)</t>
  </si>
  <si>
    <t>Average Hourly Rate - Yard Hostlers (2024$/hour) - (Capmetro's input)</t>
  </si>
  <si>
    <t>Average Hourly Rate - Maintenance Staff (2024$/hour) - (Capmetro's input)</t>
  </si>
  <si>
    <t>INPUT FACTORS - FACILITY COST SAVINGS</t>
  </si>
  <si>
    <t>For the facility size and real estate value, an average of bus maintenance facilities representing the ten FTA regions is provided. If specific data for the client agency is available, please include the information in the yellow manual input data fields to customize the outputs of the model.</t>
  </si>
  <si>
    <t>If Total Area of Bus Maintenance Facility (square footage) differs from the average, please state here:</t>
  </si>
  <si>
    <t>Capmetro's input (2024 dollars)</t>
  </si>
  <si>
    <t>(A standard 40-foot bus requires approximately 500 square feet of parking capacity)</t>
  </si>
  <si>
    <t>INPUT FACTORS - PROJECT COSTS</t>
  </si>
  <si>
    <t>If the retrofit is expected to be completed all at once, please provide the information under Phase 1. If the retrofits are expected to be completed in multiple phases, please provide the information in sequential order under Phase 1, Phase 2, Phase 3, Phase 4 and Phase 5, as needed.</t>
  </si>
  <si>
    <t>Schedule Inputs - Phase 1</t>
  </si>
  <si>
    <t>Schedule Inputs - Phase 2</t>
  </si>
  <si>
    <t>Schedule Inputs - Phase 3</t>
  </si>
  <si>
    <t>Schedule Inputs - Phase 4</t>
  </si>
  <si>
    <t>Schedule Inputs - Phase 5</t>
  </si>
  <si>
    <t>Schedule Inputs - Phase 6</t>
  </si>
  <si>
    <t>Scheduled Start Year for Equipment Installation - Phase 6</t>
  </si>
  <si>
    <t>Duration of Equipment Installation (years) - Phase 6</t>
  </si>
  <si>
    <t>Number of Bus Retrofitted in Phase 6</t>
  </si>
  <si>
    <t>Schedule Inputs - Phase 7</t>
  </si>
  <si>
    <t>Scheduled Start Year for Equipment Installation - Phase 7</t>
  </si>
  <si>
    <t>Duration of Equipment Installation (years) - Phase 7</t>
  </si>
  <si>
    <t>Number of Bus Retrofitted in Phase 7</t>
  </si>
  <si>
    <t>Schedule Inputs - Phase 8</t>
  </si>
  <si>
    <t>Scheduled Start Year for Equipment Installation - Phase 8</t>
  </si>
  <si>
    <t>Duration of Equipment Installation (years) - Phase 8</t>
  </si>
  <si>
    <t>Number of Bus Retrofitted in Phase 8</t>
  </si>
  <si>
    <t>Schedule Inputs - Phase 9</t>
  </si>
  <si>
    <t>Scheduled Start Year for Equipment Installation - Phase 9</t>
  </si>
  <si>
    <t>Duration of Equipment Installation (years) - Phase 9</t>
  </si>
  <si>
    <t>Number of Bus Retrofitted in Phase 9</t>
  </si>
  <si>
    <t>Schedule Inputs - Phase 10</t>
  </si>
  <si>
    <t>Scheduled Start Year for Equipment Installation - Phase 10</t>
  </si>
  <si>
    <t>Duration of Equipment Installation (years) - Phase 10</t>
  </si>
  <si>
    <t>Number of Bus Retrofitted in Phase 10</t>
  </si>
  <si>
    <t>Schedule Inputs - Phase 11</t>
  </si>
  <si>
    <t>Scheduled Start Year for Equipment Installation - Phase 11</t>
  </si>
  <si>
    <t>Duration of Equipment Installation (years) - Phase 11</t>
  </si>
  <si>
    <t>Number of Bus Retrofitted in Phase 11</t>
  </si>
  <si>
    <t>Schedule Inputs - Phase 12</t>
  </si>
  <si>
    <t>Scheduled Start Year for Equipment Installation - Phase 12</t>
  </si>
  <si>
    <t>Duration of Equipment Installation (years) - Phase 12</t>
  </si>
  <si>
    <t>Number of Bus Retrofitted in Phase 12</t>
  </si>
  <si>
    <t>Automated Bus Yard - Benefit-Cost Analysis - Summary of results</t>
  </si>
  <si>
    <t>Variable</t>
  </si>
  <si>
    <t>Value</t>
  </si>
  <si>
    <t>Unit</t>
  </si>
  <si>
    <t>B/C Ratios</t>
  </si>
  <si>
    <t>NPV</t>
  </si>
  <si>
    <t>Net Present Value Base</t>
  </si>
  <si>
    <t>BENEFITS</t>
  </si>
  <si>
    <t>years</t>
  </si>
  <si>
    <t>Average Yearly Benefits</t>
  </si>
  <si>
    <t>COSTS</t>
  </si>
  <si>
    <t>Average Yearly Costs</t>
  </si>
  <si>
    <t>SENSITIVITY TESTING</t>
  </si>
  <si>
    <t>BCA Results, Millions of 2025$</t>
  </si>
  <si>
    <t>BCA Metrics</t>
  </si>
  <si>
    <t>Undiscounted 2025$</t>
  </si>
  <si>
    <t>Discounted 2025$ (3.1%)</t>
  </si>
  <si>
    <t>Operational Time Savings - Operators, Yard Hostlers, Maintenance Staff</t>
  </si>
  <si>
    <t>Payback Period (years)</t>
  </si>
  <si>
    <t>2022$</t>
  </si>
  <si>
    <t>factor</t>
  </si>
  <si>
    <t>year</t>
  </si>
  <si>
    <t>Base</t>
  </si>
  <si>
    <t>Model Start Year</t>
  </si>
  <si>
    <t>Base Year (for valuation 2022 = 2022$s)</t>
  </si>
  <si>
    <t>Base Year (for discounting)</t>
  </si>
  <si>
    <t>Factor</t>
  </si>
  <si>
    <t>ratio</t>
  </si>
  <si>
    <t>cycles</t>
  </si>
  <si>
    <t>Discount Rate</t>
  </si>
  <si>
    <t>percent</t>
  </si>
  <si>
    <t>buses</t>
  </si>
  <si>
    <t>Calendar Year</t>
  </si>
  <si>
    <t>Source/Notes</t>
  </si>
  <si>
    <t>Operational Time Savings - Yard Hostlers</t>
  </si>
  <si>
    <t>Operational Time Savings - Maintenance total</t>
  </si>
  <si>
    <t>Wireless Charger Cost Savings</t>
  </si>
  <si>
    <t>Electricity Cost Savings</t>
  </si>
  <si>
    <t>Total O&amp;M Cost</t>
  </si>
  <si>
    <t>2025$</t>
  </si>
  <si>
    <t>Capital Cost</t>
  </si>
  <si>
    <t xml:space="preserve">Safety - Fatality </t>
  </si>
  <si>
    <t>incidents</t>
  </si>
  <si>
    <t>Safety - Injured</t>
  </si>
  <si>
    <t>Safety - PDO</t>
  </si>
  <si>
    <t>TOTAL BASE BENEFITS</t>
  </si>
  <si>
    <t>CUMULATIVE BASE BENEFITS</t>
  </si>
  <si>
    <t>TOTAL BASE COSTS</t>
  </si>
  <si>
    <t>CUMULATIVE BASE COSTS</t>
  </si>
  <si>
    <t>NET CASH FLOWS</t>
  </si>
  <si>
    <t>CUMULATIVE NET CASH FLOWS</t>
  </si>
  <si>
    <t>Payback Period</t>
  </si>
  <si>
    <t>Unit ($/metric ton)</t>
  </si>
  <si>
    <t>Emission Type</t>
  </si>
  <si>
    <t>Emissions - CO2</t>
  </si>
  <si>
    <t>Emissions - NOX</t>
  </si>
  <si>
    <t>Emissions - SOX</t>
  </si>
  <si>
    <t>Emissions - PM2.5</t>
  </si>
  <si>
    <t>Emissions - PM10</t>
  </si>
  <si>
    <t>Emissions - VOC</t>
  </si>
  <si>
    <t>days</t>
  </si>
  <si>
    <t>benefits</t>
  </si>
  <si>
    <t>wireless charger cost savings - require less wireless chargers in the facility due to automation</t>
  </si>
  <si>
    <t>Operational Cost</t>
  </si>
  <si>
    <t>facility cost savings - value of bus parking space - due to increased capacity of facility but same # of buses</t>
  </si>
  <si>
    <t>safety</t>
  </si>
  <si>
    <t>operational time savings (vehicle operator, maintenance) - hours of labor reduced due to reduction of pull in pull out times</t>
  </si>
  <si>
    <t>Operational Time</t>
  </si>
  <si>
    <t>Gaps</t>
  </si>
  <si>
    <t>operational cost per revenue hour (using assumption right now)</t>
  </si>
  <si>
    <t>need to define "revenue hours"</t>
  </si>
  <si>
    <t>Facility Cost</t>
  </si>
  <si>
    <t>spaces</t>
  </si>
  <si>
    <t>Charging Infrastructure Cost Savings</t>
  </si>
  <si>
    <t>chargers</t>
  </si>
  <si>
    <t>hours</t>
  </si>
  <si>
    <t>Bus Facility</t>
  </si>
  <si>
    <t>sqft</t>
  </si>
  <si>
    <t>Charging</t>
  </si>
  <si>
    <t>bus</t>
  </si>
  <si>
    <t>Chart Label</t>
  </si>
  <si>
    <t>Total</t>
  </si>
  <si>
    <t>TOTAL  BENEFITS</t>
  </si>
  <si>
    <t>CUMULATIVE  BENEFITS</t>
  </si>
  <si>
    <t>TOTAL  COSTS</t>
  </si>
  <si>
    <t>CUMULATIVE  COSTS</t>
  </si>
  <si>
    <t>B/C Ratio Base</t>
  </si>
  <si>
    <t>Forecast period flag</t>
  </si>
  <si>
    <t>2025$ in 2025</t>
  </si>
  <si>
    <t>2025$ Discounted to 2025</t>
  </si>
  <si>
    <t>BENEFITS BY CATEGORY - 2025$</t>
  </si>
  <si>
    <t>TOTALS - 2025$ in 2025</t>
  </si>
  <si>
    <t>B/C Ratios - 2025$ in 2025</t>
  </si>
  <si>
    <t>Net Present Value - 2025$ in 2025</t>
  </si>
  <si>
    <t>SENSITIVITY TESTING - 2025$ in 2025</t>
  </si>
  <si>
    <t>$2024</t>
  </si>
  <si>
    <t>$2025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</si>
</sst>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quot;$&quot;#,##0_);[Red]\(&quot;$&quot;#,##0\)"/>
    <numFmt numFmtId="8" formatCode="&quot;$&quot;#,##0.00_);[Red]\(&quot;$&quot;#,##0.00\)"/>
    <numFmt numFmtId="44" formatCode="_(&quot;$&quot;* #,##0.00_);_(&quot;$&quot;* \(#,##0.00\);_(&quot;$&quot;* &quot;-&quot;??_);_(@_)"/>
    <numFmt numFmtId="43" formatCode="_(* #,##0.00_);_(* \(#,##0.00\);_(* &quot;-&quot;??_);_(@_)"/>
    <numFmt numFmtId="164" formatCode="_(* #,##0_);_(* \(#,##0\);_(* &quot;-&quot;??_);_(@_)"/>
    <numFmt numFmtId="165" formatCode="#,##0.0000_);\(#,##0.0000\);&quot;-  &quot;;&quot; &quot;@"/>
    <numFmt numFmtId="167" formatCode="#,##0_);\(#,##0\);&quot;-  &quot;;&quot; &quot;@"/>
    <numFmt numFmtId="168" formatCode="dd/mmm/yyyy_);;&quot;-  &quot;;&quot; &quot;@"/>
    <numFmt numFmtId="169" formatCode="#,##0.000_);\(#,##0.000\);&quot;-  &quot;;&quot; &quot;@"/>
    <numFmt numFmtId="170" formatCode="dd/mmm/yy_);;&quot;-  &quot;;&quot; &quot;@"/>
    <numFmt numFmtId="176" formatCode="_(&quot;$&quot;* #,##0_);_(&quot;$&quot;* \(#,##0\);_(&quot;$&quot;* &quot;-&quot;??_);_(@_)"/>
    <numFmt numFmtId="177" formatCode="_(* #,##0.000_);_(* \(#,##0.000\);_(* &quot;-&quot;??_);_(@_)"/>
    <numFmt numFmtId="179" formatCode="_-&quot;$&quot;* #,##0.00_-;\-&quot;$&quot;* #,##0.00_-;_-&quot;$&quot;* &quot;-&quot;??_-;_-@_-"/>
    <numFmt numFmtId="180" formatCode="&quot;$&quot;#,##0.0_);[Red]\(&quot;$&quot;#,##0.0\)"/>
  </numFmts>
  <fonts count="27" x14ac:knownFonts="1">
    <font>
      <sz val="11"/>
      <color theme="1"/>
      <name val="Calibri"/>
      <family val="2"/>
      <scheme val="minor"/>
    </font>
    <font>
      <sz val="11"/>
      <color theme="1"/>
      <name val="Calibri"/>
      <family val="2"/>
      <scheme val="minor"/>
    </font>
    <font>
      <b/>
      <sz val="11"/>
      <color theme="1"/>
      <name val="Calibri"/>
      <family val="2"/>
      <scheme val="minor"/>
    </font>
    <font>
      <sz val="11"/>
      <color indexed="12"/>
      <name val="Calibri"/>
      <family val="2"/>
      <scheme val="minor"/>
    </font>
    <font>
      <sz val="11"/>
      <color indexed="10"/>
      <name val="Calibri"/>
      <family val="2"/>
      <scheme val="minor"/>
    </font>
    <font>
      <sz val="10"/>
      <name val="Arial"/>
      <family val="2"/>
    </font>
    <font>
      <sz val="11"/>
      <name val="Calibri"/>
      <family val="2"/>
      <scheme val="minor"/>
    </font>
    <font>
      <b/>
      <sz val="11"/>
      <name val="Calibri"/>
      <family val="2"/>
      <scheme val="minor"/>
    </font>
    <font>
      <sz val="10"/>
      <color indexed="8"/>
      <name val="Arial"/>
      <family val="2"/>
    </font>
    <font>
      <i/>
      <sz val="11"/>
      <color theme="1"/>
      <name val="Calibri"/>
      <family val="2"/>
      <scheme val="minor"/>
    </font>
    <font>
      <b/>
      <i/>
      <sz val="11"/>
      <color theme="1"/>
      <name val="Calibri"/>
      <family val="2"/>
      <scheme val="minor"/>
    </font>
    <font>
      <b/>
      <sz val="11"/>
      <color indexed="8"/>
      <name val="Calibri"/>
      <family val="2"/>
      <scheme val="minor"/>
    </font>
    <font>
      <b/>
      <sz val="12"/>
      <color theme="1"/>
      <name val="Calibri"/>
      <family val="2"/>
      <scheme val="minor"/>
    </font>
    <font>
      <sz val="11"/>
      <color rgb="FFFF0000"/>
      <name val="Calibri"/>
      <family val="2"/>
      <scheme val="minor"/>
    </font>
    <font>
      <sz val="9"/>
      <color indexed="8"/>
      <name val="Calibri"/>
      <family val="2"/>
    </font>
    <font>
      <i/>
      <sz val="11"/>
      <color theme="7"/>
      <name val="Calibri"/>
      <family val="2"/>
      <scheme val="minor"/>
    </font>
    <font>
      <sz val="11"/>
      <color theme="7"/>
      <name val="Calibri"/>
      <family val="2"/>
      <scheme val="minor"/>
    </font>
    <font>
      <b/>
      <sz val="14"/>
      <color theme="1"/>
      <name val="Calibri"/>
      <family val="2"/>
      <scheme val="minor"/>
    </font>
    <font>
      <b/>
      <i/>
      <u/>
      <sz val="11"/>
      <color theme="1"/>
      <name val="Calibri"/>
      <family val="2"/>
      <scheme val="minor"/>
    </font>
    <font>
      <b/>
      <u/>
      <sz val="14"/>
      <color theme="1"/>
      <name val="Calibri"/>
      <family val="2"/>
      <scheme val="minor"/>
    </font>
    <font>
      <b/>
      <i/>
      <sz val="11"/>
      <color theme="1"/>
      <name val="Calibri"/>
      <family val="2"/>
    </font>
    <font>
      <sz val="11"/>
      <color theme="0" tint="-0.249977111117893"/>
      <name val="Calibri"/>
      <family val="2"/>
      <scheme val="minor"/>
    </font>
    <font>
      <sz val="11"/>
      <color theme="0" tint="-0.499984740745262"/>
      <name val="Calibri"/>
      <family val="2"/>
      <scheme val="minor"/>
    </font>
    <font>
      <sz val="11"/>
      <color theme="0" tint="-0.34998626667073579"/>
      <name val="Calibri"/>
      <family val="2"/>
      <scheme val="minor"/>
    </font>
    <font>
      <sz val="11"/>
      <color rgb="FF000000"/>
      <name val="Calibri"/>
      <family val="2"/>
      <scheme val="minor"/>
    </font>
    <font>
      <u/>
      <sz val="11"/>
      <color theme="10"/>
      <name val="Calibri"/>
      <family val="2"/>
      <scheme val="minor"/>
    </font>
    <font>
      <i/>
      <sz val="11"/>
      <color rgb="FFFF0000"/>
      <name val="Calibri"/>
      <family val="2"/>
      <scheme val="minor"/>
    </font>
  </fonts>
  <fills count="17">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theme="0" tint="-0.14999847407452621"/>
        <bgColor indexed="64"/>
      </patternFill>
    </fill>
    <fill>
      <patternFill patternType="solid">
        <fgColor rgb="FFFFC000"/>
        <bgColor indexed="64"/>
      </patternFill>
    </fill>
    <fill>
      <patternFill patternType="solid">
        <fgColor theme="6" tint="0.59999389629810485"/>
        <bgColor indexed="64"/>
      </patternFill>
    </fill>
    <fill>
      <patternFill patternType="solid">
        <fgColor theme="4" tint="-0.249977111117893"/>
        <bgColor indexed="64"/>
      </patternFill>
    </fill>
    <fill>
      <patternFill patternType="solid">
        <fgColor rgb="FFFFFF99"/>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rgb="FF92D050"/>
        <bgColor indexed="64"/>
      </patternFill>
    </fill>
    <fill>
      <patternFill patternType="solid">
        <fgColor theme="9" tint="0.79998168889431442"/>
        <bgColor indexed="64"/>
      </patternFill>
    </fill>
    <fill>
      <patternFill patternType="solid">
        <fgColor theme="6" tint="-0.249977111117893"/>
        <bgColor indexed="64"/>
      </patternFill>
    </fill>
    <fill>
      <patternFill patternType="solid">
        <fgColor theme="8"/>
        <bgColor indexed="64"/>
      </patternFill>
    </fill>
    <fill>
      <patternFill patternType="solid">
        <fgColor rgb="FF00B0F0"/>
        <bgColor indexed="64"/>
      </patternFill>
    </fill>
    <fill>
      <patternFill patternType="solid">
        <fgColor theme="2"/>
        <bgColor indexed="64"/>
      </patternFill>
    </fill>
  </fills>
  <borders count="31">
    <border>
      <left/>
      <right/>
      <top/>
      <bottom/>
      <diagonal/>
    </border>
    <border>
      <left style="thin">
        <color theme="0"/>
      </left>
      <right style="thin">
        <color theme="0"/>
      </right>
      <top style="thin">
        <color theme="0"/>
      </top>
      <bottom style="thin">
        <color theme="0"/>
      </bottom>
      <diagonal/>
    </border>
    <border>
      <left/>
      <right/>
      <top/>
      <bottom style="dashed">
        <color rgb="FFBFBFBF"/>
      </bottom>
      <diagonal/>
    </border>
    <border>
      <left style="thin">
        <color theme="0"/>
      </left>
      <right style="thin">
        <color theme="0"/>
      </right>
      <top style="thin">
        <color theme="0"/>
      </top>
      <bottom/>
      <diagonal/>
    </border>
    <border>
      <left/>
      <right/>
      <top/>
      <bottom style="medium">
        <color indexed="64"/>
      </bottom>
      <diagonal/>
    </border>
    <border>
      <left/>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double">
        <color auto="1"/>
      </left>
      <right/>
      <top style="double">
        <color auto="1"/>
      </top>
      <bottom/>
      <diagonal/>
    </border>
    <border>
      <left/>
      <right/>
      <top style="double">
        <color auto="1"/>
      </top>
      <bottom/>
      <diagonal/>
    </border>
    <border>
      <left style="double">
        <color auto="1"/>
      </left>
      <right/>
      <top/>
      <bottom/>
      <diagonal/>
    </border>
    <border>
      <left style="double">
        <color auto="1"/>
      </left>
      <right/>
      <top/>
      <bottom style="double">
        <color auto="1"/>
      </bottom>
      <diagonal/>
    </border>
    <border>
      <left style="thin">
        <color theme="0"/>
      </left>
      <right style="thin">
        <color theme="0"/>
      </right>
      <top/>
      <bottom style="thick">
        <color theme="0"/>
      </bottom>
      <diagonal/>
    </border>
    <border>
      <left style="thin">
        <color theme="0"/>
      </left>
      <right/>
      <top/>
      <bottom style="thick">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medium">
        <color auto="1"/>
      </bottom>
      <diagonal/>
    </border>
    <border>
      <left style="thin">
        <color rgb="FF000000"/>
      </left>
      <right style="thin">
        <color rgb="FF000000"/>
      </right>
      <top style="thin">
        <color rgb="FF000000"/>
      </top>
      <bottom style="thin">
        <color rgb="FF000000"/>
      </bottom>
      <diagonal/>
    </border>
  </borders>
  <cellStyleXfs count="18">
    <xf numFmtId="0" fontId="0" fillId="0" borderId="0"/>
    <xf numFmtId="43" fontId="1" fillId="0" borderId="0" applyFont="0" applyFill="0" applyBorder="0" applyAlignment="0" applyProtection="0"/>
    <xf numFmtId="9" fontId="1" fillId="0" borderId="0" applyFont="0" applyFill="0" applyBorder="0" applyAlignment="0" applyProtection="0"/>
    <xf numFmtId="165" fontId="5" fillId="0" borderId="0" applyFont="0" applyFill="0" applyBorder="0" applyAlignment="0" applyProtection="0"/>
    <xf numFmtId="168" fontId="5" fillId="0" borderId="0" applyFont="0" applyFill="0" applyBorder="0" applyAlignment="0" applyProtection="0"/>
    <xf numFmtId="43" fontId="5" fillId="0" borderId="0" applyFont="0" applyFill="0" applyBorder="0" applyAlignment="0" applyProtection="0"/>
    <xf numFmtId="170" fontId="5"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5" fillId="0" borderId="0" applyFont="0" applyFill="0" applyBorder="0" applyAlignment="0" applyProtection="0"/>
    <xf numFmtId="0" fontId="8" fillId="0" borderId="0"/>
    <xf numFmtId="0" fontId="14" fillId="0" borderId="2" applyNumberFormat="0" applyFont="0" applyProtection="0">
      <alignment wrapText="1"/>
    </xf>
    <xf numFmtId="44" fontId="1" fillId="0" borderId="0" applyFont="0" applyFill="0" applyBorder="0" applyAlignment="0" applyProtection="0"/>
    <xf numFmtId="179" fontId="1" fillId="0" borderId="0" applyFont="0" applyFill="0" applyBorder="0" applyAlignment="0" applyProtection="0"/>
    <xf numFmtId="0" fontId="25" fillId="0" borderId="0" applyNumberFormat="0" applyFill="0" applyBorder="0" applyAlignment="0" applyProtection="0"/>
  </cellStyleXfs>
  <cellXfs count="192">
    <xf numFmtId="0" fontId="0" fillId="0" borderId="0" xfId="0"/>
    <xf numFmtId="0" fontId="2" fillId="0" borderId="1" xfId="0" applyFont="1" applyBorder="1"/>
    <xf numFmtId="0" fontId="0" fillId="0" borderId="1" xfId="0" applyBorder="1"/>
    <xf numFmtId="0" fontId="0" fillId="6" borderId="1" xfId="0" applyFill="1" applyBorder="1"/>
    <xf numFmtId="43" fontId="0" fillId="0" borderId="1" xfId="1" applyFont="1" applyBorder="1"/>
    <xf numFmtId="0" fontId="6" fillId="0" borderId="1" xfId="0" applyFont="1" applyBorder="1"/>
    <xf numFmtId="0" fontId="0" fillId="3" borderId="1" xfId="0" applyFill="1" applyBorder="1"/>
    <xf numFmtId="0" fontId="12" fillId="0" borderId="1" xfId="0" applyFont="1" applyBorder="1"/>
    <xf numFmtId="0" fontId="0" fillId="11" borderId="1" xfId="0" applyFill="1" applyBorder="1"/>
    <xf numFmtId="0" fontId="0" fillId="5" borderId="1" xfId="0" applyFill="1" applyBorder="1"/>
    <xf numFmtId="0" fontId="0" fillId="12" borderId="1" xfId="0" applyFill="1" applyBorder="1"/>
    <xf numFmtId="0" fontId="0" fillId="9" borderId="1" xfId="0" applyFill="1" applyBorder="1"/>
    <xf numFmtId="0" fontId="0" fillId="10" borderId="1" xfId="0" applyFill="1" applyBorder="1"/>
    <xf numFmtId="0" fontId="0" fillId="13" borderId="1" xfId="0" applyFill="1" applyBorder="1"/>
    <xf numFmtId="0" fontId="0" fillId="7" borderId="1" xfId="0" applyFill="1" applyBorder="1"/>
    <xf numFmtId="167" fontId="0" fillId="0" borderId="1" xfId="3" applyNumberFormat="1" applyFont="1" applyBorder="1"/>
    <xf numFmtId="167" fontId="0" fillId="0" borderId="1" xfId="0" applyNumberFormat="1" applyBorder="1"/>
    <xf numFmtId="0" fontId="7" fillId="0" borderId="1" xfId="0" applyFont="1" applyBorder="1"/>
    <xf numFmtId="167" fontId="6" fillId="0" borderId="1" xfId="3" applyNumberFormat="1" applyFont="1" applyBorder="1"/>
    <xf numFmtId="0" fontId="3" fillId="0" borderId="1" xfId="0" applyFont="1" applyBorder="1"/>
    <xf numFmtId="0" fontId="4" fillId="0" borderId="1" xfId="0" applyFont="1" applyBorder="1"/>
    <xf numFmtId="0" fontId="0" fillId="0" borderId="1" xfId="0" applyBorder="1" applyAlignment="1">
      <alignment wrapText="1"/>
    </xf>
    <xf numFmtId="43" fontId="2" fillId="0" borderId="1" xfId="1" applyFont="1" applyBorder="1"/>
    <xf numFmtId="43" fontId="0" fillId="0" borderId="1" xfId="1" applyFont="1" applyBorder="1" applyAlignment="1">
      <alignment wrapText="1"/>
    </xf>
    <xf numFmtId="164" fontId="0" fillId="0" borderId="1" xfId="0" applyNumberFormat="1" applyBorder="1"/>
    <xf numFmtId="43" fontId="6" fillId="0" borderId="1" xfId="1" applyFont="1" applyBorder="1"/>
    <xf numFmtId="164" fontId="0" fillId="0" borderId="1" xfId="1" applyNumberFormat="1" applyFont="1" applyBorder="1"/>
    <xf numFmtId="164" fontId="3" fillId="0" borderId="1" xfId="1" applyNumberFormat="1" applyFont="1" applyBorder="1"/>
    <xf numFmtId="10" fontId="6" fillId="0" borderId="1" xfId="2" applyNumberFormat="1" applyFont="1" applyBorder="1"/>
    <xf numFmtId="43" fontId="0" fillId="0" borderId="1" xfId="1" applyFont="1" applyBorder="1" applyAlignment="1"/>
    <xf numFmtId="43" fontId="2" fillId="0" borderId="1" xfId="1" applyFont="1" applyBorder="1" applyAlignment="1"/>
    <xf numFmtId="0" fontId="2" fillId="0" borderId="1" xfId="0" applyFont="1" applyBorder="1" applyAlignment="1">
      <alignment horizontal="center" wrapText="1"/>
    </xf>
    <xf numFmtId="167" fontId="1" fillId="0" borderId="1" xfId="3" applyNumberFormat="1" applyFont="1" applyBorder="1"/>
    <xf numFmtId="167" fontId="2" fillId="0" borderId="1" xfId="3" applyNumberFormat="1" applyFont="1" applyBorder="1"/>
    <xf numFmtId="43" fontId="0" fillId="0" borderId="1" xfId="1" applyFont="1" applyFill="1" applyBorder="1" applyAlignment="1"/>
    <xf numFmtId="0" fontId="11" fillId="0" borderId="1" xfId="0" applyFont="1" applyBorder="1"/>
    <xf numFmtId="0" fontId="11" fillId="0" borderId="1" xfId="0" applyFont="1" applyBorder="1" applyAlignment="1">
      <alignment horizontal="center"/>
    </xf>
    <xf numFmtId="164" fontId="0" fillId="4" borderId="1" xfId="1" applyNumberFormat="1" applyFont="1" applyFill="1" applyBorder="1"/>
    <xf numFmtId="0" fontId="2" fillId="4" borderId="1" xfId="1" applyNumberFormat="1" applyFont="1" applyFill="1" applyBorder="1"/>
    <xf numFmtId="169" fontId="2" fillId="4" borderId="1" xfId="3" applyNumberFormat="1" applyFont="1" applyFill="1" applyBorder="1"/>
    <xf numFmtId="167" fontId="2" fillId="4" borderId="1" xfId="3" applyNumberFormat="1" applyFont="1" applyFill="1" applyBorder="1"/>
    <xf numFmtId="0" fontId="0" fillId="4" borderId="1" xfId="0" applyFill="1" applyBorder="1"/>
    <xf numFmtId="0" fontId="2" fillId="4" borderId="1" xfId="0" applyFont="1" applyFill="1" applyBorder="1"/>
    <xf numFmtId="43" fontId="0" fillId="0" borderId="1" xfId="1" applyFont="1" applyBorder="1" applyAlignment="1">
      <alignment horizontal="center"/>
    </xf>
    <xf numFmtId="0" fontId="0" fillId="0" borderId="3" xfId="0" applyBorder="1"/>
    <xf numFmtId="0" fontId="16" fillId="0" borderId="1" xfId="0" applyFont="1" applyBorder="1"/>
    <xf numFmtId="0" fontId="15" fillId="0" borderId="1" xfId="0" applyFont="1" applyBorder="1"/>
    <xf numFmtId="6" fontId="0" fillId="0" borderId="1" xfId="0" applyNumberFormat="1" applyBorder="1"/>
    <xf numFmtId="169" fontId="2" fillId="4" borderId="1" xfId="3" applyNumberFormat="1" applyFont="1" applyFill="1" applyBorder="1" applyAlignment="1">
      <alignment horizontal="center"/>
    </xf>
    <xf numFmtId="6" fontId="0" fillId="0" borderId="1" xfId="1" applyNumberFormat="1" applyFont="1" applyBorder="1"/>
    <xf numFmtId="6" fontId="6" fillId="0" borderId="1" xfId="2" applyNumberFormat="1" applyFont="1" applyBorder="1"/>
    <xf numFmtId="6" fontId="0" fillId="0" borderId="1" xfId="3" applyNumberFormat="1" applyFont="1" applyBorder="1"/>
    <xf numFmtId="6" fontId="6" fillId="0" borderId="1" xfId="3" applyNumberFormat="1" applyFont="1" applyBorder="1"/>
    <xf numFmtId="0" fontId="0" fillId="14" borderId="1" xfId="0" applyFill="1" applyBorder="1"/>
    <xf numFmtId="43" fontId="0" fillId="0" borderId="1" xfId="0" applyNumberFormat="1" applyBorder="1"/>
    <xf numFmtId="0" fontId="0" fillId="2" borderId="0" xfId="0" applyFill="1"/>
    <xf numFmtId="0" fontId="12" fillId="2" borderId="0" xfId="0" applyFont="1" applyFill="1"/>
    <xf numFmtId="0" fontId="2" fillId="2" borderId="0" xfId="0" applyFont="1" applyFill="1"/>
    <xf numFmtId="0" fontId="0" fillId="2" borderId="0" xfId="0" applyFill="1" applyAlignment="1">
      <alignment horizontal="center" vertical="center"/>
    </xf>
    <xf numFmtId="0" fontId="0" fillId="2" borderId="0" xfId="0" applyFill="1" applyAlignment="1">
      <alignment horizontal="left" vertical="center" wrapText="1"/>
    </xf>
    <xf numFmtId="0" fontId="0" fillId="2" borderId="0" xfId="0" applyFill="1" applyAlignment="1">
      <alignment horizontal="left" vertical="center"/>
    </xf>
    <xf numFmtId="0" fontId="0" fillId="2" borderId="0" xfId="0" applyFill="1" applyAlignment="1">
      <alignment vertical="center" wrapText="1"/>
    </xf>
    <xf numFmtId="0" fontId="2" fillId="2" borderId="0" xfId="0" applyFont="1" applyFill="1" applyAlignment="1">
      <alignment wrapText="1"/>
    </xf>
    <xf numFmtId="0" fontId="2" fillId="0" borderId="0" xfId="0" applyFont="1"/>
    <xf numFmtId="0" fontId="0" fillId="2" borderId="0" xfId="0" applyFill="1" applyAlignment="1">
      <alignment horizontal="right"/>
    </xf>
    <xf numFmtId="0" fontId="17" fillId="2" borderId="0" xfId="0" applyFont="1" applyFill="1"/>
    <xf numFmtId="0" fontId="10" fillId="2" borderId="0" xfId="0" applyFont="1" applyFill="1"/>
    <xf numFmtId="8" fontId="0" fillId="3" borderId="8" xfId="0" applyNumberFormat="1" applyFill="1" applyBorder="1" applyAlignment="1">
      <alignment horizontal="right"/>
    </xf>
    <xf numFmtId="0" fontId="0" fillId="3" borderId="8" xfId="0" applyFill="1" applyBorder="1" applyAlignment="1">
      <alignment horizontal="right"/>
    </xf>
    <xf numFmtId="0" fontId="0" fillId="3" borderId="8" xfId="0" applyFill="1" applyBorder="1" applyAlignment="1">
      <alignment horizontal="right" vertical="center" wrapText="1"/>
    </xf>
    <xf numFmtId="0" fontId="2" fillId="2" borderId="0" xfId="0" applyFont="1" applyFill="1" applyAlignment="1">
      <alignment horizontal="right" vertical="center" wrapText="1"/>
    </xf>
    <xf numFmtId="8" fontId="2" fillId="2" borderId="0" xfId="0" applyNumberFormat="1" applyFont="1" applyFill="1" applyAlignment="1">
      <alignment horizontal="right"/>
    </xf>
    <xf numFmtId="0" fontId="9" fillId="2" borderId="0" xfId="0" applyFont="1" applyFill="1"/>
    <xf numFmtId="0" fontId="9" fillId="2" borderId="0" xfId="0" applyFont="1" applyFill="1" applyAlignment="1">
      <alignment horizontal="left" vertical="center" wrapText="1"/>
    </xf>
    <xf numFmtId="0" fontId="2" fillId="2" borderId="0" xfId="0" applyFont="1" applyFill="1" applyAlignment="1">
      <alignment horizontal="left" vertical="center" wrapText="1"/>
    </xf>
    <xf numFmtId="0" fontId="10" fillId="2" borderId="0" xfId="0" applyFont="1" applyFill="1" applyAlignment="1">
      <alignment wrapText="1"/>
    </xf>
    <xf numFmtId="6" fontId="2" fillId="2" borderId="0" xfId="0" applyNumberFormat="1" applyFont="1" applyFill="1" applyAlignment="1">
      <alignment horizontal="right"/>
    </xf>
    <xf numFmtId="164" fontId="0" fillId="3" borderId="8" xfId="1" applyNumberFormat="1" applyFont="1" applyFill="1" applyBorder="1" applyAlignment="1">
      <alignment horizontal="right"/>
    </xf>
    <xf numFmtId="6" fontId="0" fillId="3" borderId="8" xfId="0" applyNumberFormat="1" applyFill="1" applyBorder="1" applyAlignment="1">
      <alignment horizontal="right"/>
    </xf>
    <xf numFmtId="0" fontId="9" fillId="2" borderId="0" xfId="0" applyFont="1" applyFill="1" applyAlignment="1">
      <alignment horizontal="left"/>
    </xf>
    <xf numFmtId="0" fontId="10" fillId="2" borderId="0" xfId="0" applyFont="1" applyFill="1" applyAlignment="1">
      <alignment vertical="top" wrapText="1"/>
    </xf>
    <xf numFmtId="0" fontId="2" fillId="2" borderId="11" xfId="0" applyFont="1" applyFill="1" applyBorder="1"/>
    <xf numFmtId="0" fontId="0" fillId="2" borderId="12" xfId="0" applyFill="1" applyBorder="1"/>
    <xf numFmtId="0" fontId="0" fillId="2" borderId="12" xfId="0" applyFill="1" applyBorder="1" applyAlignment="1">
      <alignment horizontal="right"/>
    </xf>
    <xf numFmtId="0" fontId="0" fillId="2" borderId="13" xfId="0" applyFill="1" applyBorder="1"/>
    <xf numFmtId="0" fontId="2" fillId="2" borderId="14" xfId="0" applyFont="1" applyFill="1" applyBorder="1"/>
    <xf numFmtId="0" fontId="0" fillId="2" borderId="15" xfId="0" applyFill="1" applyBorder="1"/>
    <xf numFmtId="0" fontId="0" fillId="2" borderId="14" xfId="0" applyFill="1" applyBorder="1"/>
    <xf numFmtId="0" fontId="2" fillId="2" borderId="16" xfId="0" applyFont="1" applyFill="1" applyBorder="1"/>
    <xf numFmtId="0" fontId="10" fillId="2" borderId="4" xfId="0" applyFont="1" applyFill="1" applyBorder="1"/>
    <xf numFmtId="0" fontId="0" fillId="2" borderId="4" xfId="0" applyFill="1" applyBorder="1"/>
    <xf numFmtId="0" fontId="0" fillId="2" borderId="4" xfId="0" applyFill="1" applyBorder="1" applyAlignment="1">
      <alignment horizontal="right"/>
    </xf>
    <xf numFmtId="0" fontId="0" fillId="2" borderId="17" xfId="0" applyFill="1" applyBorder="1"/>
    <xf numFmtId="0" fontId="0" fillId="2" borderId="15" xfId="0" applyFill="1" applyBorder="1" applyAlignment="1">
      <alignment horizontal="left" vertical="center" wrapText="1"/>
    </xf>
    <xf numFmtId="0" fontId="0" fillId="2" borderId="12" xfId="0" applyFill="1" applyBorder="1" applyAlignment="1">
      <alignment horizontal="right" vertical="center"/>
    </xf>
    <xf numFmtId="0" fontId="0" fillId="2" borderId="12" xfId="0" applyFill="1" applyBorder="1" applyAlignment="1">
      <alignment horizontal="right" vertical="center" wrapText="1"/>
    </xf>
    <xf numFmtId="0" fontId="0" fillId="2" borderId="13" xfId="0" applyFill="1" applyBorder="1" applyAlignment="1">
      <alignment vertical="center" wrapText="1"/>
    </xf>
    <xf numFmtId="0" fontId="10" fillId="2" borderId="15" xfId="0" applyFont="1" applyFill="1" applyBorder="1" applyAlignment="1">
      <alignment wrapText="1"/>
    </xf>
    <xf numFmtId="0" fontId="10" fillId="2" borderId="15" xfId="0" applyFont="1" applyFill="1" applyBorder="1" applyAlignment="1">
      <alignment vertical="top" wrapText="1"/>
    </xf>
    <xf numFmtId="0" fontId="12" fillId="2" borderId="18" xfId="0" applyFont="1" applyFill="1" applyBorder="1"/>
    <xf numFmtId="0" fontId="0" fillId="2" borderId="19" xfId="0" applyFill="1" applyBorder="1"/>
    <xf numFmtId="0" fontId="2" fillId="2" borderId="20" xfId="0" applyFont="1" applyFill="1" applyBorder="1"/>
    <xf numFmtId="0" fontId="0" fillId="2" borderId="20" xfId="0" applyFill="1" applyBorder="1"/>
    <xf numFmtId="0" fontId="0" fillId="2" borderId="21" xfId="0" applyFill="1" applyBorder="1"/>
    <xf numFmtId="0" fontId="0" fillId="2" borderId="5" xfId="0" applyFill="1" applyBorder="1"/>
    <xf numFmtId="0" fontId="0" fillId="2" borderId="5" xfId="0" applyFill="1" applyBorder="1" applyAlignment="1">
      <alignment horizontal="right"/>
    </xf>
    <xf numFmtId="0" fontId="2" fillId="2" borderId="20" xfId="0" applyFont="1" applyFill="1" applyBorder="1" applyAlignment="1">
      <alignment wrapText="1"/>
    </xf>
    <xf numFmtId="0" fontId="0" fillId="2" borderId="20" xfId="0" applyFill="1" applyBorder="1" applyAlignment="1">
      <alignment horizontal="left" vertical="center" wrapText="1"/>
    </xf>
    <xf numFmtId="0" fontId="0" fillId="2" borderId="20" xfId="0" applyFill="1" applyBorder="1" applyAlignment="1">
      <alignment vertical="center" wrapText="1"/>
    </xf>
    <xf numFmtId="0" fontId="10" fillId="2" borderId="20" xfId="0" applyFont="1" applyFill="1" applyBorder="1" applyAlignment="1">
      <alignment wrapText="1"/>
    </xf>
    <xf numFmtId="0" fontId="10" fillId="2" borderId="20" xfId="0" applyFont="1" applyFill="1" applyBorder="1" applyAlignment="1">
      <alignment vertical="top" wrapText="1"/>
    </xf>
    <xf numFmtId="0" fontId="18" fillId="2" borderId="0" xfId="0" applyFont="1" applyFill="1"/>
    <xf numFmtId="43" fontId="0" fillId="0" borderId="0" xfId="0" applyNumberFormat="1"/>
    <xf numFmtId="0" fontId="3" fillId="0" borderId="0" xfId="0" applyFont="1"/>
    <xf numFmtId="164" fontId="0" fillId="0" borderId="0" xfId="0" applyNumberFormat="1"/>
    <xf numFmtId="43" fontId="2" fillId="0" borderId="0" xfId="0" applyNumberFormat="1" applyFont="1"/>
    <xf numFmtId="164" fontId="0" fillId="0" borderId="0" xfId="1" applyNumberFormat="1" applyFont="1" applyFill="1"/>
    <xf numFmtId="43" fontId="3" fillId="0" borderId="0" xfId="0" applyNumberFormat="1" applyFont="1"/>
    <xf numFmtId="164" fontId="3" fillId="0" borderId="0" xfId="0" applyNumberFormat="1" applyFont="1"/>
    <xf numFmtId="0" fontId="9" fillId="0" borderId="0" xfId="0" applyFont="1" applyAlignment="1">
      <alignment horizontal="right"/>
    </xf>
    <xf numFmtId="6" fontId="0" fillId="0" borderId="0" xfId="0" applyNumberFormat="1"/>
    <xf numFmtId="176" fontId="0" fillId="0" borderId="0" xfId="15" applyNumberFormat="1" applyFont="1" applyFill="1"/>
    <xf numFmtId="0" fontId="2" fillId="15" borderId="0" xfId="0" applyFont="1" applyFill="1" applyAlignment="1">
      <alignment horizontal="center"/>
    </xf>
    <xf numFmtId="0" fontId="0" fillId="0" borderId="0" xfId="0" applyAlignment="1">
      <alignment horizontal="center"/>
    </xf>
    <xf numFmtId="6" fontId="0" fillId="0" borderId="0" xfId="0" applyNumberFormat="1" applyAlignment="1">
      <alignment horizontal="center"/>
    </xf>
    <xf numFmtId="43" fontId="0" fillId="0" borderId="0" xfId="1" applyFont="1" applyAlignment="1">
      <alignment horizontal="center"/>
    </xf>
    <xf numFmtId="0" fontId="2" fillId="15" borderId="22" xfId="0" applyFont="1" applyFill="1" applyBorder="1" applyAlignment="1">
      <alignment horizontal="center"/>
    </xf>
    <xf numFmtId="0" fontId="2" fillId="15" borderId="23" xfId="0" applyFont="1" applyFill="1" applyBorder="1" applyAlignment="1">
      <alignment horizontal="center"/>
    </xf>
    <xf numFmtId="6" fontId="2" fillId="0" borderId="1" xfId="3" applyNumberFormat="1" applyFont="1" applyBorder="1"/>
    <xf numFmtId="1" fontId="3" fillId="0" borderId="1" xfId="0" applyNumberFormat="1" applyFont="1" applyBorder="1"/>
    <xf numFmtId="0" fontId="0" fillId="0" borderId="25" xfId="0" applyBorder="1"/>
    <xf numFmtId="9" fontId="0" fillId="0" borderId="1" xfId="2" applyFont="1" applyBorder="1"/>
    <xf numFmtId="0" fontId="0" fillId="0" borderId="8" xfId="0" applyBorder="1" applyAlignment="1">
      <alignment horizontal="center" vertical="center"/>
    </xf>
    <xf numFmtId="0" fontId="0" fillId="0" borderId="8" xfId="15" applyNumberFormat="1" applyFont="1" applyFill="1" applyBorder="1" applyAlignment="1">
      <alignment horizontal="center" vertical="center"/>
    </xf>
    <xf numFmtId="176" fontId="6" fillId="0" borderId="8" xfId="15" applyNumberFormat="1" applyFont="1" applyFill="1" applyBorder="1" applyAlignment="1">
      <alignment horizontal="center" vertical="center"/>
    </xf>
    <xf numFmtId="0" fontId="0" fillId="0" borderId="29" xfId="15" applyNumberFormat="1" applyFont="1" applyFill="1" applyBorder="1" applyAlignment="1">
      <alignment horizontal="center" vertical="center"/>
    </xf>
    <xf numFmtId="176" fontId="6" fillId="0" borderId="29" xfId="15" applyNumberFormat="1" applyFont="1" applyFill="1" applyBorder="1" applyAlignment="1">
      <alignment horizontal="center" vertical="center"/>
    </xf>
    <xf numFmtId="0" fontId="0" fillId="16" borderId="8" xfId="15" applyNumberFormat="1" applyFont="1" applyFill="1" applyBorder="1" applyAlignment="1">
      <alignment horizontal="center" vertical="center"/>
    </xf>
    <xf numFmtId="176" fontId="6" fillId="16" borderId="8" xfId="15" applyNumberFormat="1" applyFont="1" applyFill="1" applyBorder="1" applyAlignment="1">
      <alignment horizontal="center" vertical="center"/>
    </xf>
    <xf numFmtId="2" fontId="0" fillId="0" borderId="1" xfId="0" applyNumberFormat="1" applyBorder="1" applyAlignment="1">
      <alignment horizontal="center" wrapText="1"/>
    </xf>
    <xf numFmtId="0" fontId="22" fillId="0" borderId="1" xfId="0" applyFont="1" applyBorder="1"/>
    <xf numFmtId="43" fontId="22" fillId="0" borderId="1" xfId="1" applyFont="1" applyBorder="1" applyAlignment="1"/>
    <xf numFmtId="167" fontId="22" fillId="0" borderId="1" xfId="3" applyNumberFormat="1" applyFont="1" applyBorder="1"/>
    <xf numFmtId="167" fontId="22" fillId="0" borderId="1" xfId="3" applyNumberFormat="1" applyFont="1" applyBorder="1" applyAlignment="1"/>
    <xf numFmtId="43" fontId="23" fillId="0" borderId="1" xfId="1" applyFont="1" applyBorder="1"/>
    <xf numFmtId="10" fontId="23" fillId="0" borderId="1" xfId="2" applyNumberFormat="1" applyFont="1" applyBorder="1"/>
    <xf numFmtId="6" fontId="23" fillId="0" borderId="1" xfId="1" applyNumberFormat="1" applyFont="1" applyBorder="1"/>
    <xf numFmtId="0" fontId="13" fillId="2" borderId="0" xfId="0" applyFont="1" applyFill="1"/>
    <xf numFmtId="0" fontId="13" fillId="2" borderId="20" xfId="0" applyFont="1" applyFill="1" applyBorder="1"/>
    <xf numFmtId="0" fontId="13" fillId="2" borderId="14" xfId="0" applyFont="1" applyFill="1" applyBorder="1"/>
    <xf numFmtId="0" fontId="13" fillId="3" borderId="8" xfId="0" applyFont="1" applyFill="1" applyBorder="1" applyAlignment="1">
      <alignment horizontal="right"/>
    </xf>
    <xf numFmtId="0" fontId="13" fillId="2" borderId="15" xfId="0" applyFont="1" applyFill="1" applyBorder="1"/>
    <xf numFmtId="0" fontId="24" fillId="3" borderId="8" xfId="0" applyFont="1" applyFill="1" applyBorder="1" applyAlignment="1">
      <alignment horizontal="right"/>
    </xf>
    <xf numFmtId="0" fontId="24" fillId="2" borderId="0" xfId="0" applyFont="1" applyFill="1"/>
    <xf numFmtId="0" fontId="0" fillId="8" borderId="30" xfId="0" applyFill="1" applyBorder="1" applyAlignment="1">
      <alignment horizontal="right"/>
    </xf>
    <xf numFmtId="0" fontId="0" fillId="0" borderId="24" xfId="0" applyBorder="1"/>
    <xf numFmtId="177" fontId="0" fillId="0" borderId="1" xfId="0" applyNumberFormat="1" applyBorder="1"/>
    <xf numFmtId="43" fontId="0" fillId="0" borderId="24" xfId="1" applyFont="1" applyBorder="1"/>
    <xf numFmtId="180" fontId="0" fillId="0" borderId="8" xfId="0" applyNumberFormat="1" applyBorder="1" applyAlignment="1">
      <alignment horizontal="center" vertical="center"/>
    </xf>
    <xf numFmtId="0" fontId="2" fillId="0" borderId="8" xfId="0" applyFont="1" applyBorder="1"/>
    <xf numFmtId="0" fontId="2" fillId="4" borderId="8" xfId="0" applyFont="1" applyFill="1" applyBorder="1" applyAlignment="1">
      <alignment horizontal="center"/>
    </xf>
    <xf numFmtId="180" fontId="2" fillId="0" borderId="8" xfId="0" applyNumberFormat="1" applyFont="1" applyBorder="1" applyAlignment="1">
      <alignment horizontal="center" vertical="center"/>
    </xf>
    <xf numFmtId="6" fontId="0" fillId="0" borderId="8" xfId="0" applyNumberFormat="1" applyBorder="1" applyAlignment="1">
      <alignment horizontal="left" wrapText="1" indent="2"/>
    </xf>
    <xf numFmtId="6" fontId="0" fillId="0" borderId="1" xfId="0" applyNumberFormat="1" applyBorder="1" applyAlignment="1">
      <alignment horizontal="right" vertical="center"/>
    </xf>
    <xf numFmtId="6" fontId="0" fillId="0" borderId="1" xfId="0" applyNumberFormat="1" applyBorder="1" applyAlignment="1">
      <alignment horizontal="left" vertical="center"/>
    </xf>
    <xf numFmtId="2" fontId="2" fillId="0" borderId="8" xfId="0" applyNumberFormat="1" applyFont="1" applyBorder="1" applyAlignment="1">
      <alignment horizontal="center" vertical="center"/>
    </xf>
    <xf numFmtId="167" fontId="2" fillId="4" borderId="1" xfId="3" applyNumberFormat="1" applyFont="1" applyFill="1" applyBorder="1" applyAlignment="1">
      <alignment horizontal="center"/>
    </xf>
    <xf numFmtId="167" fontId="21" fillId="0" borderId="1" xfId="0" applyNumberFormat="1" applyFont="1" applyBorder="1"/>
    <xf numFmtId="0" fontId="2" fillId="2" borderId="8" xfId="0" applyFont="1" applyFill="1" applyBorder="1" applyAlignment="1">
      <alignment horizontal="right"/>
    </xf>
    <xf numFmtId="8" fontId="2" fillId="3" borderId="0" xfId="0" applyNumberFormat="1" applyFont="1" applyFill="1" applyAlignment="1">
      <alignment horizontal="right" vertical="center" wrapText="1"/>
    </xf>
    <xf numFmtId="0" fontId="0" fillId="0" borderId="0" xfId="0" applyAlignment="1">
      <alignment horizontal="right" vertical="center" wrapText="1"/>
    </xf>
    <xf numFmtId="10" fontId="6" fillId="0" borderId="1" xfId="2" applyNumberFormat="1" applyFont="1" applyFill="1" applyBorder="1"/>
    <xf numFmtId="164" fontId="1" fillId="3" borderId="0" xfId="1" applyNumberFormat="1" applyFont="1" applyFill="1" applyBorder="1" applyAlignment="1">
      <alignment horizontal="right"/>
    </xf>
    <xf numFmtId="0" fontId="2" fillId="3" borderId="0" xfId="0" applyFont="1" applyFill="1" applyAlignment="1">
      <alignment horizontal="right"/>
    </xf>
    <xf numFmtId="0" fontId="21" fillId="2" borderId="15" xfId="0" applyFont="1" applyFill="1" applyBorder="1"/>
    <xf numFmtId="176" fontId="0" fillId="0" borderId="1" xfId="15" applyNumberFormat="1" applyFont="1" applyBorder="1" applyAlignment="1">
      <alignment horizontal="center"/>
    </xf>
    <xf numFmtId="176" fontId="0" fillId="0" borderId="1" xfId="15" applyNumberFormat="1" applyFont="1" applyBorder="1"/>
    <xf numFmtId="0" fontId="10" fillId="2" borderId="14" xfId="0" applyFont="1" applyFill="1" applyBorder="1" applyAlignment="1">
      <alignment horizontal="left" vertical="top" wrapText="1"/>
    </xf>
    <xf numFmtId="0" fontId="10" fillId="2" borderId="0" xfId="0" applyFont="1" applyFill="1" applyAlignment="1">
      <alignment horizontal="left" vertical="top" wrapText="1"/>
    </xf>
    <xf numFmtId="0" fontId="19" fillId="2" borderId="19" xfId="0" applyFont="1" applyFill="1" applyBorder="1" applyAlignment="1">
      <alignment horizontal="center"/>
    </xf>
    <xf numFmtId="0" fontId="10" fillId="2" borderId="14" xfId="0" applyFont="1" applyFill="1" applyBorder="1" applyAlignment="1">
      <alignment horizontal="left" wrapText="1"/>
    </xf>
    <xf numFmtId="0" fontId="10" fillId="2" borderId="0" xfId="0" applyFont="1" applyFill="1" applyAlignment="1">
      <alignment horizontal="left" wrapText="1"/>
    </xf>
    <xf numFmtId="0" fontId="2" fillId="2" borderId="0" xfId="0" applyFont="1" applyFill="1" applyAlignment="1">
      <alignment horizontal="left" wrapText="1"/>
    </xf>
    <xf numFmtId="0" fontId="2" fillId="0" borderId="6" xfId="0" applyFont="1" applyBorder="1" applyAlignment="1">
      <alignment horizontal="center"/>
    </xf>
    <xf numFmtId="0" fontId="2" fillId="0" borderId="7" xfId="0" applyFont="1" applyBorder="1" applyAlignment="1">
      <alignment horizontal="center"/>
    </xf>
    <xf numFmtId="0" fontId="0" fillId="3" borderId="9" xfId="0" applyFill="1" applyBorder="1" applyAlignment="1">
      <alignment horizontal="left"/>
    </xf>
    <xf numFmtId="0" fontId="0" fillId="3" borderId="10" xfId="0" applyFill="1" applyBorder="1" applyAlignment="1">
      <alignment horizontal="left"/>
    </xf>
    <xf numFmtId="1" fontId="2" fillId="0" borderId="9" xfId="0" applyNumberFormat="1" applyFont="1" applyBorder="1" applyAlignment="1">
      <alignment horizontal="center" vertical="center"/>
    </xf>
    <xf numFmtId="1" fontId="2" fillId="0" borderId="10" xfId="0" applyNumberFormat="1" applyFont="1" applyBorder="1" applyAlignment="1">
      <alignment horizontal="center" vertical="center"/>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cellXfs>
  <cellStyles count="18">
    <cellStyle name="Body: normal cell" xfId="14" xr:uid="{00000000-0005-0000-0000-000000000000}"/>
    <cellStyle name="Comma" xfId="1" builtinId="3"/>
    <cellStyle name="Comma 3" xfId="5" xr:uid="{00000000-0005-0000-0000-000002000000}"/>
    <cellStyle name="Currency" xfId="15" builtinId="4"/>
    <cellStyle name="Currency 2" xfId="16" xr:uid="{55A06D01-FB72-4595-9F99-8E986DB98074}"/>
    <cellStyle name="DateLong" xfId="4" xr:uid="{00000000-0005-0000-0000-000004000000}"/>
    <cellStyle name="DateShort" xfId="6" xr:uid="{00000000-0005-0000-0000-000005000000}"/>
    <cellStyle name="Factor" xfId="3" xr:uid="{00000000-0005-0000-0000-000006000000}"/>
    <cellStyle name="Hyperlink 2" xfId="17" xr:uid="{382D21AC-2688-44D5-8BE6-DF191487ACAC}"/>
    <cellStyle name="Normal" xfId="0" builtinId="0"/>
    <cellStyle name="Normal 12" xfId="7" xr:uid="{00000000-0005-0000-0000-000009000000}"/>
    <cellStyle name="Normal 13" xfId="8" xr:uid="{00000000-0005-0000-0000-00000A000000}"/>
    <cellStyle name="Normal 14" xfId="9" xr:uid="{00000000-0005-0000-0000-00000B000000}"/>
    <cellStyle name="Normal 16" xfId="10" xr:uid="{00000000-0005-0000-0000-00000C000000}"/>
    <cellStyle name="Normal 2" xfId="11" xr:uid="{00000000-0005-0000-0000-00000D000000}"/>
    <cellStyle name="Normal 3" xfId="12" xr:uid="{00000000-0005-0000-0000-00000E000000}"/>
    <cellStyle name="Normal 9" xfId="13" xr:uid="{00000000-0005-0000-0000-00000F000000}"/>
    <cellStyle name="Percent" xfId="2" builtinId="5"/>
  </cellStyles>
  <dxfs count="38">
    <dxf>
      <font>
        <b/>
        <i val="0"/>
        <color theme="0"/>
      </font>
      <fill>
        <patternFill>
          <bgColor theme="6" tint="-0.24994659260841701"/>
        </patternFill>
      </fill>
    </dxf>
    <dxf>
      <font>
        <b/>
        <i val="0"/>
        <color theme="0"/>
      </font>
      <fill>
        <patternFill>
          <bgColor rgb="FFC00000"/>
        </patternFill>
      </fill>
    </dxf>
    <dxf>
      <font>
        <b/>
        <i val="0"/>
        <color theme="0"/>
      </font>
      <fill>
        <patternFill>
          <bgColor theme="6" tint="-0.24994659260841701"/>
        </patternFill>
      </fill>
    </dxf>
    <dxf>
      <font>
        <b/>
        <i val="0"/>
        <color theme="0"/>
      </font>
      <fill>
        <patternFill>
          <bgColor rgb="FFC00000"/>
        </patternFill>
      </fill>
    </dxf>
    <dxf>
      <font>
        <b/>
        <i val="0"/>
        <color theme="0"/>
      </font>
      <fill>
        <patternFill>
          <bgColor theme="6" tint="-0.24994659260841701"/>
        </patternFill>
      </fill>
    </dxf>
    <dxf>
      <font>
        <b/>
        <i val="0"/>
        <color theme="0"/>
      </font>
      <fill>
        <patternFill>
          <bgColor rgb="FFC00000"/>
        </patternFill>
      </fill>
    </dxf>
    <dxf>
      <font>
        <b/>
        <i val="0"/>
        <color theme="0"/>
      </font>
      <fill>
        <patternFill>
          <bgColor theme="6" tint="-0.24994659260841701"/>
        </patternFill>
      </fill>
    </dxf>
    <dxf>
      <font>
        <b/>
        <i val="0"/>
        <color theme="0"/>
      </font>
      <fill>
        <patternFill>
          <bgColor rgb="FFC00000"/>
        </patternFill>
      </fill>
    </dxf>
    <dxf>
      <font>
        <b/>
        <i val="0"/>
        <color theme="0"/>
      </font>
      <fill>
        <patternFill>
          <bgColor theme="6" tint="-0.24994659260841701"/>
        </patternFill>
      </fill>
    </dxf>
    <dxf>
      <font>
        <b/>
        <i val="0"/>
        <color theme="0"/>
      </font>
      <fill>
        <patternFill>
          <bgColor rgb="FFC00000"/>
        </patternFill>
      </fill>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numFmt numFmtId="10" formatCode="&quot;$&quot;#,##0_);[Red]\(&quot;$&quot;#,##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fill>
        <patternFill patternType="solid">
          <fgColor indexed="64"/>
          <bgColor rgb="FF00B0F0"/>
        </patternFill>
      </fill>
      <alignment horizontal="center" vertical="bottom" textRotation="0" wrapText="0" indent="0" justifyLastLine="0" shrinkToFit="0" readingOrder="0"/>
    </dxf>
  </dxfs>
  <tableStyles count="0" defaultTableStyle="TableStyleMedium9" defaultPivotStyle="PivotStyleLight16"/>
  <colors>
    <mruColors>
      <color rgb="FF66FFFF"/>
      <color rgb="FF00CC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v>Benefits</c:v>
          </c:tx>
          <c:spPr>
            <a:ln w="28575" cap="rnd">
              <a:solidFill>
                <a:srgbClr val="00B050"/>
              </a:solidFill>
              <a:round/>
            </a:ln>
            <a:effectLst/>
          </c:spPr>
          <c:marker>
            <c:symbol val="none"/>
          </c:marker>
          <c:cat>
            <c:numRef>
              <c:f>'UnDisc Results'!$Q$2:$AL$2</c:f>
              <c:numCache>
                <c:formatCode>General</c:formatCode>
                <c:ptCount val="22"/>
                <c:pt idx="0">
                  <c:v>2027</c:v>
                </c:pt>
                <c:pt idx="1">
                  <c:v>2028</c:v>
                </c:pt>
                <c:pt idx="2">
                  <c:v>2029</c:v>
                </c:pt>
                <c:pt idx="3">
                  <c:v>2030</c:v>
                </c:pt>
                <c:pt idx="4">
                  <c:v>2031</c:v>
                </c:pt>
                <c:pt idx="5">
                  <c:v>2032</c:v>
                </c:pt>
                <c:pt idx="6">
                  <c:v>2033</c:v>
                </c:pt>
                <c:pt idx="7">
                  <c:v>2034</c:v>
                </c:pt>
                <c:pt idx="8">
                  <c:v>2035</c:v>
                </c:pt>
                <c:pt idx="9">
                  <c:v>2036</c:v>
                </c:pt>
                <c:pt idx="10">
                  <c:v>2037</c:v>
                </c:pt>
                <c:pt idx="11">
                  <c:v>2038</c:v>
                </c:pt>
                <c:pt idx="12">
                  <c:v>2039</c:v>
                </c:pt>
                <c:pt idx="13">
                  <c:v>2040</c:v>
                </c:pt>
                <c:pt idx="14">
                  <c:v>2041</c:v>
                </c:pt>
                <c:pt idx="15">
                  <c:v>2042</c:v>
                </c:pt>
                <c:pt idx="16">
                  <c:v>2043</c:v>
                </c:pt>
                <c:pt idx="17">
                  <c:v>2044</c:v>
                </c:pt>
                <c:pt idx="18">
                  <c:v>2045</c:v>
                </c:pt>
                <c:pt idx="19">
                  <c:v>2046</c:v>
                </c:pt>
                <c:pt idx="20">
                  <c:v>2047</c:v>
                </c:pt>
                <c:pt idx="21">
                  <c:v>2048</c:v>
                </c:pt>
              </c:numCache>
            </c:numRef>
          </c:cat>
          <c:val>
            <c:numRef>
              <c:f>'UnDisc Results'!$Q$19:$AL$19</c:f>
              <c:numCache>
                <c:formatCode>#,##0_);\(#,##0\);"-  ";" "@</c:formatCode>
                <c:ptCount val="22"/>
                <c:pt idx="0">
                  <c:v>1611730.0165316521</c:v>
                </c:pt>
                <c:pt idx="1">
                  <c:v>2219852.5112713473</c:v>
                </c:pt>
                <c:pt idx="2">
                  <c:v>5302710.2551401062</c:v>
                </c:pt>
                <c:pt idx="3">
                  <c:v>10296831.604105987</c:v>
                </c:pt>
                <c:pt idx="4">
                  <c:v>17715367.020247668</c:v>
                </c:pt>
                <c:pt idx="5">
                  <c:v>27316386.895108171</c:v>
                </c:pt>
                <c:pt idx="6">
                  <c:v>39357111.675487615</c:v>
                </c:pt>
                <c:pt idx="7">
                  <c:v>54039373.960864417</c:v>
                </c:pt>
                <c:pt idx="8">
                  <c:v>71567535.494655997</c:v>
                </c:pt>
                <c:pt idx="9">
                  <c:v>91907861.85643515</c:v>
                </c:pt>
                <c:pt idx="10">
                  <c:v>111265954.71904548</c:v>
                </c:pt>
                <c:pt idx="11">
                  <c:v>130313952.87212202</c:v>
                </c:pt>
                <c:pt idx="12">
                  <c:v>149443508.17609787</c:v>
                </c:pt>
                <c:pt idx="13">
                  <c:v>168655028.41672754</c:v>
                </c:pt>
                <c:pt idx="14">
                  <c:v>185960311.88723648</c:v>
                </c:pt>
                <c:pt idx="15">
                  <c:v>201343377.0683336</c:v>
                </c:pt>
                <c:pt idx="16">
                  <c:v>214387112.36804092</c:v>
                </c:pt>
                <c:pt idx="17">
                  <c:v>225216931.11302254</c:v>
                </c:pt>
                <c:pt idx="18">
                  <c:v>233623064.87172902</c:v>
                </c:pt>
                <c:pt idx="19">
                  <c:v>239393088.3167595</c:v>
                </c:pt>
                <c:pt idx="20">
                  <c:v>242311893.1479784</c:v>
                </c:pt>
                <c:pt idx="21">
                  <c:v>242311893.1479784</c:v>
                </c:pt>
              </c:numCache>
            </c:numRef>
          </c:val>
          <c:smooth val="0"/>
          <c:extLst>
            <c:ext xmlns:c16="http://schemas.microsoft.com/office/drawing/2014/chart" uri="{C3380CC4-5D6E-409C-BE32-E72D297353CC}">
              <c16:uniqueId val="{00000000-5B9F-4B2D-B14A-DA97919F8F01}"/>
            </c:ext>
          </c:extLst>
        </c:ser>
        <c:ser>
          <c:idx val="1"/>
          <c:order val="1"/>
          <c:tx>
            <c:v>Costs</c:v>
          </c:tx>
          <c:spPr>
            <a:ln w="28575" cap="rnd">
              <a:solidFill>
                <a:srgbClr val="FF0000"/>
              </a:solidFill>
              <a:round/>
            </a:ln>
            <a:effectLst/>
          </c:spPr>
          <c:marker>
            <c:symbol val="none"/>
          </c:marker>
          <c:cat>
            <c:numRef>
              <c:f>'UnDisc Results'!$Q$2:$AL$2</c:f>
              <c:numCache>
                <c:formatCode>General</c:formatCode>
                <c:ptCount val="22"/>
                <c:pt idx="0">
                  <c:v>2027</c:v>
                </c:pt>
                <c:pt idx="1">
                  <c:v>2028</c:v>
                </c:pt>
                <c:pt idx="2">
                  <c:v>2029</c:v>
                </c:pt>
                <c:pt idx="3">
                  <c:v>2030</c:v>
                </c:pt>
                <c:pt idx="4">
                  <c:v>2031</c:v>
                </c:pt>
                <c:pt idx="5">
                  <c:v>2032</c:v>
                </c:pt>
                <c:pt idx="6">
                  <c:v>2033</c:v>
                </c:pt>
                <c:pt idx="7">
                  <c:v>2034</c:v>
                </c:pt>
                <c:pt idx="8">
                  <c:v>2035</c:v>
                </c:pt>
                <c:pt idx="9">
                  <c:v>2036</c:v>
                </c:pt>
                <c:pt idx="10">
                  <c:v>2037</c:v>
                </c:pt>
                <c:pt idx="11">
                  <c:v>2038</c:v>
                </c:pt>
                <c:pt idx="12">
                  <c:v>2039</c:v>
                </c:pt>
                <c:pt idx="13">
                  <c:v>2040</c:v>
                </c:pt>
                <c:pt idx="14">
                  <c:v>2041</c:v>
                </c:pt>
                <c:pt idx="15">
                  <c:v>2042</c:v>
                </c:pt>
                <c:pt idx="16">
                  <c:v>2043</c:v>
                </c:pt>
                <c:pt idx="17">
                  <c:v>2044</c:v>
                </c:pt>
                <c:pt idx="18">
                  <c:v>2045</c:v>
                </c:pt>
                <c:pt idx="19">
                  <c:v>2046</c:v>
                </c:pt>
                <c:pt idx="20">
                  <c:v>2047</c:v>
                </c:pt>
                <c:pt idx="21">
                  <c:v>2048</c:v>
                </c:pt>
              </c:numCache>
            </c:numRef>
          </c:cat>
          <c:val>
            <c:numRef>
              <c:f>'UnDisc Results'!$Q$21:$AL$21</c:f>
              <c:numCache>
                <c:formatCode>#,##0_);\(#,##0\);"-  ";" "@</c:formatCode>
                <c:ptCount val="22"/>
                <c:pt idx="0">
                  <c:v>3850475.7361764992</c:v>
                </c:pt>
                <c:pt idx="1">
                  <c:v>6167930.5234609433</c:v>
                </c:pt>
                <c:pt idx="2">
                  <c:v>8806248.9590100981</c:v>
                </c:pt>
                <c:pt idx="3">
                  <c:v>12096304.319317523</c:v>
                </c:pt>
                <c:pt idx="4">
                  <c:v>15805843.159781892</c:v>
                </c:pt>
                <c:pt idx="5">
                  <c:v>20074447.141696163</c:v>
                </c:pt>
                <c:pt idx="6">
                  <c:v>24932821.315388806</c:v>
                </c:pt>
                <c:pt idx="7">
                  <c:v>30410154.263613306</c:v>
                </c:pt>
                <c:pt idx="8">
                  <c:v>36357639.098953076</c:v>
                </c:pt>
                <c:pt idx="9">
                  <c:v>40111145.034410447</c:v>
                </c:pt>
                <c:pt idx="10">
                  <c:v>43804024.875118293</c:v>
                </c:pt>
                <c:pt idx="11">
                  <c:v>47434351.859074794</c:v>
                </c:pt>
                <c:pt idx="12">
                  <c:v>51071452.536102943</c:v>
                </c:pt>
                <c:pt idx="13">
                  <c:v>54715503.043762699</c:v>
                </c:pt>
                <c:pt idx="14">
                  <c:v>58019257.459343292</c:v>
                </c:pt>
                <c:pt idx="15">
                  <c:v>60982012.850753583</c:v>
                </c:pt>
                <c:pt idx="16">
                  <c:v>63533365.540372461</c:v>
                </c:pt>
                <c:pt idx="17">
                  <c:v>65672352.610801391</c:v>
                </c:pt>
                <c:pt idx="18">
                  <c:v>67363036.12356782</c:v>
                </c:pt>
                <c:pt idx="19">
                  <c:v>68569279.748221874</c:v>
                </c:pt>
                <c:pt idx="20">
                  <c:v>69254737.773221344</c:v>
                </c:pt>
                <c:pt idx="21">
                  <c:v>69254737.773221344</c:v>
                </c:pt>
              </c:numCache>
            </c:numRef>
          </c:val>
          <c:smooth val="0"/>
          <c:extLst>
            <c:ext xmlns:c16="http://schemas.microsoft.com/office/drawing/2014/chart" uri="{C3380CC4-5D6E-409C-BE32-E72D297353CC}">
              <c16:uniqueId val="{00000001-5B9F-4B2D-B14A-DA97919F8F01}"/>
            </c:ext>
          </c:extLst>
        </c:ser>
        <c:dLbls>
          <c:showLegendKey val="0"/>
          <c:showVal val="0"/>
          <c:showCatName val="0"/>
          <c:showSerName val="0"/>
          <c:showPercent val="0"/>
          <c:showBubbleSize val="0"/>
        </c:dLbls>
        <c:smooth val="0"/>
        <c:axId val="761577632"/>
        <c:axId val="761579792"/>
      </c:lineChart>
      <c:catAx>
        <c:axId val="7615776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Tahoma" panose="020B0604030504040204" pitchFamily="34" charset="0"/>
                    <a:cs typeface="Times New Roman" panose="02020603050405020304" pitchFamily="18" charset="0"/>
                  </a:defRPr>
                </a:pPr>
                <a:r>
                  <a:rPr lang="en-US"/>
                  <a:t>Project Timeline for Bus Yard Automation</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Tahoma" panose="020B0604030504040204" pitchFamily="34" charset="0"/>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Tahoma" panose="020B0604030504040204" pitchFamily="34" charset="0"/>
                <a:cs typeface="Times New Roman" panose="02020603050405020304" pitchFamily="18" charset="0"/>
              </a:defRPr>
            </a:pPr>
            <a:endParaRPr lang="en-US"/>
          </a:p>
        </c:txPr>
        <c:crossAx val="761579792"/>
        <c:crosses val="autoZero"/>
        <c:auto val="1"/>
        <c:lblAlgn val="ctr"/>
        <c:lblOffset val="100"/>
        <c:noMultiLvlLbl val="0"/>
      </c:catAx>
      <c:valAx>
        <c:axId val="761579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Tahoma" panose="020B0604030504040204" pitchFamily="34" charset="0"/>
                    <a:cs typeface="Times New Roman" panose="02020603050405020304" pitchFamily="18" charset="0"/>
                  </a:defRPr>
                </a:pPr>
                <a:r>
                  <a:rPr lang="en-US"/>
                  <a:t>Undiscounted values ($Year of Expenditure)</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Tahoma" panose="020B0604030504040204" pitchFamily="34" charset="0"/>
                  <a:cs typeface="Times New Roman" panose="02020603050405020304" pitchFamily="18" charset="0"/>
                </a:defRPr>
              </a:pPr>
              <a:endParaRPr lang="en-US"/>
            </a:p>
          </c:txPr>
        </c:title>
        <c:numFmt formatCode="&quot;$&quot;#,##0.0&quot;M&quot;" sourceLinked="0"/>
        <c:majorTickMark val="none"/>
        <c:minorTickMark val="none"/>
        <c:tickLblPos val="nextTo"/>
        <c:spPr>
          <a:noFill/>
          <a:ln>
            <a:solidFill>
              <a:sysClr val="windowText" lastClr="000000"/>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Tahoma" panose="020B0604030504040204" pitchFamily="34" charset="0"/>
                <a:cs typeface="Times New Roman" panose="02020603050405020304" pitchFamily="18" charset="0"/>
              </a:defRPr>
            </a:pPr>
            <a:endParaRPr lang="en-US"/>
          </a:p>
        </c:txPr>
        <c:crossAx val="761577632"/>
        <c:crosses val="autoZero"/>
        <c:crossBetween val="between"/>
        <c:dispUnits>
          <c:builtInUnit val="millions"/>
        </c:dispUnits>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Tahoma" panose="020B0604030504040204" pitchFamily="34" charset="0"/>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sz="1000">
          <a:solidFill>
            <a:sysClr val="windowText" lastClr="000000"/>
          </a:solidFill>
          <a:latin typeface="Times New Roman" panose="02020603050405020304" pitchFamily="18" charset="0"/>
          <a:ea typeface="Tahoma" panose="020B0604030504040204" pitchFamily="34"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17</xdr:col>
      <xdr:colOff>9732</xdr:colOff>
      <xdr:row>28</xdr:row>
      <xdr:rowOff>16565</xdr:rowOff>
    </xdr:from>
    <xdr:to>
      <xdr:col>27</xdr:col>
      <xdr:colOff>447675</xdr:colOff>
      <xdr:row>54</xdr:row>
      <xdr:rowOff>95250</xdr:rowOff>
    </xdr:to>
    <xdr:graphicFrame macro="">
      <xdr:nvGraphicFramePr>
        <xdr:cNvPr id="3" name="Chart 2">
          <a:extLst>
            <a:ext uri="{FF2B5EF4-FFF2-40B4-BE49-F238E27FC236}">
              <a16:creationId xmlns:a16="http://schemas.microsoft.com/office/drawing/2014/main" id="{DCE55C28-E465-3437-612D-CF95D2C822C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B849E1B-F6AF-460B-B849-402568F048BB}" name="Table1" displayName="Table1" ref="A1:Z14" totalsRowShown="0" headerRowDxfId="37" dataDxfId="36">
  <autoFilter ref="A1:Z14" xr:uid="{72AE3A6A-B207-493E-85AC-66AE74C31B7F}"/>
  <tableColumns count="26">
    <tableColumn id="1" xr3:uid="{6B16FB14-1723-46DB-A2CD-0BE4A548A7BB}" name="Analysis Schedule Year" dataDxfId="35"/>
    <tableColumn id="2" xr3:uid="{E6FBDDE2-E496-43BA-A853-F6B7B0C42650}" name="Analysis Calendar Year" dataDxfId="34"/>
    <tableColumn id="3" xr3:uid="{D4BD0CF8-C23D-41C7-BC2C-0613EF72CD60}" name="Cumulative Discounted Benefits" dataDxfId="33"/>
    <tableColumn id="4" xr3:uid="{4D8BE69B-9182-4222-A6EB-41988CA3FAAE}" name="Cumulative Discounted Costs" dataDxfId="32"/>
    <tableColumn id="14" xr3:uid="{46C87880-5046-41A2-9F9B-C3A10C2839AB}" name="Net Present Value" dataDxfId="31">
      <calculatedColumnFormula>Table1[[#This Row],[Cumulative Discounted Benefits]]-Table1[[#This Row],[Cumulative Discounted Costs]]</calculatedColumnFormula>
    </tableColumn>
    <tableColumn id="15" xr3:uid="{4EA3ACF2-C9EF-4601-8F14-ECD43084489C}" name="Benefit-Cost Ratio" dataDxfId="30" dataCellStyle="Comma">
      <calculatedColumnFormula>Table1[[#This Row],[Cumulative Discounted Benefits]]/Table1[[#This Row],[Cumulative Discounted Costs]]</calculatedColumnFormula>
    </tableColumn>
    <tableColumn id="5" xr3:uid="{4B2BD06A-112A-409B-AFCD-5B21887EE3C0}" name="Operational Time Savings - Maintenance Staff" dataDxfId="29"/>
    <tableColumn id="6" xr3:uid="{05AD6A40-8757-413F-BCC4-60D983E4799D}" name="Operational Time Savings - Vehicle Operators" dataDxfId="28"/>
    <tableColumn id="7" xr3:uid="{07356835-350D-47CB-85B2-7983AF02A5EC}" name="Liability and Casualty Cost Savings" dataDxfId="27"/>
    <tableColumn id="8" xr3:uid="{F42248B5-1968-4DFE-8DDA-5C620FDA1FCD}" name="Safety Benefits" dataDxfId="26"/>
    <tableColumn id="9" xr3:uid="{8C216C69-A223-46B5-9883-286C30DE7A27}" name="Operational Vehicle Cost Savings" dataDxfId="25"/>
    <tableColumn id="10" xr3:uid="{36767D9C-3AA1-4C9C-9DAB-8FB3CADA0FB4}" name="Capital Costs" dataDxfId="24"/>
    <tableColumn id="11" xr3:uid="{BAB82F9C-ECBD-4952-84B5-012AFCC01D8D}" name="O&amp;M Costs" dataDxfId="23"/>
    <tableColumn id="12" xr3:uid="{7D2DC674-78A6-4DCA-B2BC-CB5CEA6EA855}" name="Facility Cost Savings" dataDxfId="22"/>
    <tableColumn id="13" xr3:uid="{5C485585-1DF9-45BA-A726-4CA347C30567}" name="Charge Management System Cost Savings" dataDxfId="21"/>
    <tableColumn id="16" xr3:uid="{D7A121E9-418A-491D-9317-3EF6BE5C6644}" name="Discounted Benefits (By Year)" dataDxfId="20"/>
    <tableColumn id="17" xr3:uid="{4E92A1DF-9889-4B90-B8C1-087D844F73EC}" name="Discounted Costs (By Year)" dataDxfId="19"/>
    <tableColumn id="18" xr3:uid="{0476C05B-9264-4A40-8F80-457A926B04A3}" name="Operational Time Savings - Maintenance Staff (By Year)" dataDxfId="18"/>
    <tableColumn id="19" xr3:uid="{3525BC11-84A1-436E-A205-57808751E26E}" name="Operational Time Savings - Vehicle Operators (By Year)" dataDxfId="17"/>
    <tableColumn id="20" xr3:uid="{92AFC893-0963-4C4C-BB8E-0A72B70DC8EA}" name="Liability and Casualty Cost Savings (By Year)" dataDxfId="16"/>
    <tableColumn id="21" xr3:uid="{03037158-A150-4FCA-940D-91FC4A21D5E3}" name="Safety Benefits (By Year)" dataDxfId="15"/>
    <tableColumn id="22" xr3:uid="{5D17796E-D2B0-4F6C-94B3-C9BDC76BC46F}" name="Operational Vehicle Cost Savings (By Year)" dataDxfId="14"/>
    <tableColumn id="23" xr3:uid="{2BB615C0-D159-4749-9247-09A1EBFDFA5F}" name="Capital Costs (By Year)" dataDxfId="13"/>
    <tableColumn id="24" xr3:uid="{A6DECE70-AA60-4750-B3F5-408417644FC5}" name="O&amp;M Costs (By Year)" dataDxfId="12"/>
    <tableColumn id="25" xr3:uid="{0032DF18-A0CC-4C3D-932F-25DFAC4B0B5D}" name="Facility Cost Savings (By Year)" dataDxfId="11"/>
    <tableColumn id="26" xr3:uid="{842C8DFA-21FD-4913-A0E7-2204443D262F}" name="Charge Management System Cost Savings (By Year)" dataDxfId="10"/>
  </tableColumns>
  <tableStyleInfo name="TableStyleMedium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8"/>
  </sheetPr>
  <dimension ref="A1:D27"/>
  <sheetViews>
    <sheetView topLeftCell="A4" workbookViewId="0">
      <selection activeCell="F28" sqref="F28"/>
    </sheetView>
  </sheetViews>
  <sheetFormatPr defaultColWidth="8.5546875" defaultRowHeight="14.4" x14ac:dyDescent="0.3"/>
  <cols>
    <col min="1" max="3" width="1.5546875" style="2" customWidth="1"/>
    <col min="4" max="16384" width="8.5546875" style="2"/>
  </cols>
  <sheetData>
    <row r="1" spans="2:4" ht="5.25" customHeight="1" x14ac:dyDescent="0.3"/>
    <row r="2" spans="2:4" ht="25.5" customHeight="1" x14ac:dyDescent="0.3">
      <c r="B2" s="7" t="s">
        <v>0</v>
      </c>
    </row>
    <row r="3" spans="2:4" ht="25.5" customHeight="1" x14ac:dyDescent="0.3">
      <c r="B3" s="7" t="s">
        <v>1</v>
      </c>
    </row>
    <row r="4" spans="2:4" ht="19.5" customHeight="1" x14ac:dyDescent="0.3">
      <c r="B4" s="7" t="s">
        <v>2</v>
      </c>
    </row>
    <row r="5" spans="2:4" ht="5.25" customHeight="1" x14ac:dyDescent="0.3"/>
    <row r="6" spans="2:4" ht="5.25" customHeight="1" x14ac:dyDescent="0.3"/>
    <row r="7" spans="2:4" x14ac:dyDescent="0.3">
      <c r="B7" s="2" t="s">
        <v>3</v>
      </c>
    </row>
    <row r="8" spans="2:4" x14ac:dyDescent="0.3">
      <c r="B8" s="2" t="s">
        <v>4</v>
      </c>
    </row>
    <row r="10" spans="2:4" x14ac:dyDescent="0.3">
      <c r="B10" s="1" t="s">
        <v>5</v>
      </c>
    </row>
    <row r="12" spans="2:4" x14ac:dyDescent="0.3">
      <c r="C12" s="53"/>
      <c r="D12" s="2" t="s">
        <v>6</v>
      </c>
    </row>
    <row r="13" spans="2:4" x14ac:dyDescent="0.3">
      <c r="C13" s="8"/>
      <c r="D13" s="2" t="s">
        <v>7</v>
      </c>
    </row>
    <row r="14" spans="2:4" x14ac:dyDescent="0.3">
      <c r="C14" s="9"/>
      <c r="D14" s="2" t="s">
        <v>8</v>
      </c>
    </row>
    <row r="15" spans="2:4" x14ac:dyDescent="0.3">
      <c r="C15" s="10"/>
      <c r="D15" s="2" t="s">
        <v>9</v>
      </c>
    </row>
    <row r="16" spans="2:4" x14ac:dyDescent="0.3">
      <c r="C16" s="11"/>
      <c r="D16" s="2" t="s">
        <v>10</v>
      </c>
    </row>
    <row r="17" spans="1:4" x14ac:dyDescent="0.3">
      <c r="B17" s="12"/>
      <c r="C17" s="13"/>
      <c r="D17" s="2" t="s">
        <v>11</v>
      </c>
    </row>
    <row r="18" spans="1:4" x14ac:dyDescent="0.3">
      <c r="C18" s="14"/>
      <c r="D18" s="2" t="s">
        <v>12</v>
      </c>
    </row>
    <row r="19" spans="1:4" ht="5.25" customHeight="1" x14ac:dyDescent="0.3"/>
    <row r="20" spans="1:4" x14ac:dyDescent="0.3">
      <c r="B20" s="1" t="s">
        <v>13</v>
      </c>
    </row>
    <row r="21" spans="1:4" ht="5.25" customHeight="1" x14ac:dyDescent="0.3"/>
    <row r="22" spans="1:4" x14ac:dyDescent="0.3">
      <c r="C22" s="3"/>
      <c r="D22" s="2" t="s">
        <v>14</v>
      </c>
    </row>
    <row r="23" spans="1:4" x14ac:dyDescent="0.3">
      <c r="C23" s="6"/>
      <c r="D23" s="2" t="s">
        <v>15</v>
      </c>
    </row>
    <row r="24" spans="1:4" x14ac:dyDescent="0.3">
      <c r="D24" s="19" t="s">
        <v>16</v>
      </c>
    </row>
    <row r="25" spans="1:4" x14ac:dyDescent="0.3">
      <c r="D25" s="20" t="s">
        <v>17</v>
      </c>
    </row>
    <row r="26" spans="1:4" s="45" customFormat="1" x14ac:dyDescent="0.3">
      <c r="D26" s="46"/>
    </row>
    <row r="27" spans="1:4" ht="5.25" customHeight="1" x14ac:dyDescent="0.3">
      <c r="A27" s="44"/>
      <c r="B27" s="44"/>
      <c r="C27" s="44"/>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51265-05AB-4C6E-80D9-8218C288ECCB}">
  <sheetPr>
    <tabColor theme="6" tint="-0.249977111117893"/>
  </sheetPr>
  <dimension ref="A2:K48"/>
  <sheetViews>
    <sheetView workbookViewId="0">
      <selection activeCell="E16" sqref="E16"/>
    </sheetView>
  </sheetViews>
  <sheetFormatPr defaultRowHeight="14.4" x14ac:dyDescent="0.3"/>
  <cols>
    <col min="1" max="1" width="13.5546875" bestFit="1" customWidth="1"/>
    <col min="2" max="2" width="6.44140625" bestFit="1" customWidth="1"/>
    <col min="3" max="4" width="9" bestFit="1" customWidth="1"/>
    <col min="5" max="5" width="11.5546875" bestFit="1" customWidth="1"/>
  </cols>
  <sheetData>
    <row r="2" spans="1:11" x14ac:dyDescent="0.3">
      <c r="B2" s="189" t="s">
        <v>192</v>
      </c>
      <c r="C2" s="190"/>
      <c r="D2" s="190"/>
      <c r="E2" s="191"/>
    </row>
    <row r="3" spans="1:11" x14ac:dyDescent="0.3">
      <c r="A3" s="132" t="s">
        <v>193</v>
      </c>
      <c r="B3" s="2" t="s">
        <v>194</v>
      </c>
      <c r="C3" s="2" t="s">
        <v>195</v>
      </c>
      <c r="D3" s="2" t="s">
        <v>196</v>
      </c>
      <c r="E3" s="2" t="s">
        <v>197</v>
      </c>
    </row>
    <row r="4" spans="1:11" x14ac:dyDescent="0.3">
      <c r="A4" s="133">
        <v>2022</v>
      </c>
      <c r="B4" s="134">
        <f>B5</f>
        <v>228</v>
      </c>
      <c r="C4" s="134">
        <v>19800</v>
      </c>
      <c r="D4" s="134">
        <v>52900</v>
      </c>
      <c r="E4" s="134">
        <v>951000</v>
      </c>
    </row>
    <row r="5" spans="1:11" x14ac:dyDescent="0.3">
      <c r="A5" s="133">
        <v>2023</v>
      </c>
      <c r="B5" s="134">
        <v>228</v>
      </c>
      <c r="C5" s="134">
        <v>20100</v>
      </c>
      <c r="D5" s="134">
        <v>53800</v>
      </c>
      <c r="E5" s="134">
        <v>963200</v>
      </c>
      <c r="K5" s="2" t="s">
        <v>195</v>
      </c>
    </row>
    <row r="6" spans="1:11" x14ac:dyDescent="0.3">
      <c r="A6" s="133">
        <v>2024</v>
      </c>
      <c r="B6" s="134">
        <v>233</v>
      </c>
      <c r="C6" s="134">
        <v>20300</v>
      </c>
      <c r="D6" s="134">
        <v>54800</v>
      </c>
      <c r="E6" s="134">
        <v>975500</v>
      </c>
      <c r="K6" s="2" t="s">
        <v>197</v>
      </c>
    </row>
    <row r="7" spans="1:11" x14ac:dyDescent="0.3">
      <c r="A7" s="133">
        <v>2025</v>
      </c>
      <c r="B7" s="134">
        <v>237</v>
      </c>
      <c r="C7" s="134">
        <v>20600</v>
      </c>
      <c r="D7" s="134">
        <v>56100</v>
      </c>
      <c r="E7" s="134">
        <v>993500</v>
      </c>
      <c r="K7" s="2" t="s">
        <v>198</v>
      </c>
    </row>
    <row r="8" spans="1:11" x14ac:dyDescent="0.3">
      <c r="A8" s="133">
        <v>2026</v>
      </c>
      <c r="B8" s="134">
        <v>241</v>
      </c>
      <c r="C8" s="134">
        <v>21000</v>
      </c>
      <c r="D8" s="134">
        <v>57400</v>
      </c>
      <c r="E8" s="134">
        <v>1011900</v>
      </c>
      <c r="K8" s="2" t="s">
        <v>196</v>
      </c>
    </row>
    <row r="9" spans="1:11" x14ac:dyDescent="0.3">
      <c r="A9" s="133">
        <v>2027</v>
      </c>
      <c r="B9" s="134">
        <v>245</v>
      </c>
      <c r="C9" s="134">
        <v>21300</v>
      </c>
      <c r="D9" s="134">
        <v>58700</v>
      </c>
      <c r="E9" s="134">
        <v>1030600</v>
      </c>
      <c r="K9" s="2" t="s">
        <v>199</v>
      </c>
    </row>
    <row r="10" spans="1:11" x14ac:dyDescent="0.3">
      <c r="A10" s="133">
        <v>2028</v>
      </c>
      <c r="B10" s="134">
        <v>250</v>
      </c>
      <c r="C10" s="134">
        <v>21700</v>
      </c>
      <c r="D10" s="134">
        <v>60100</v>
      </c>
      <c r="E10" s="134">
        <v>1049600</v>
      </c>
      <c r="K10" s="2" t="s">
        <v>194</v>
      </c>
    </row>
    <row r="11" spans="1:11" x14ac:dyDescent="0.3">
      <c r="A11" s="133">
        <v>2029</v>
      </c>
      <c r="B11" s="134">
        <v>253</v>
      </c>
      <c r="C11" s="134">
        <v>22000</v>
      </c>
      <c r="D11" s="134">
        <v>61500</v>
      </c>
      <c r="E11" s="134">
        <v>1069000</v>
      </c>
    </row>
    <row r="12" spans="1:11" x14ac:dyDescent="0.3">
      <c r="A12" s="133">
        <v>2030</v>
      </c>
      <c r="B12" s="134">
        <v>257</v>
      </c>
      <c r="C12" s="134">
        <v>22000</v>
      </c>
      <c r="D12" s="134">
        <v>61500</v>
      </c>
      <c r="E12" s="134">
        <v>1069000</v>
      </c>
    </row>
    <row r="13" spans="1:11" x14ac:dyDescent="0.3">
      <c r="A13" s="133">
        <v>2031</v>
      </c>
      <c r="B13" s="134">
        <v>262</v>
      </c>
      <c r="C13" s="134">
        <v>22000</v>
      </c>
      <c r="D13" s="134">
        <v>61500</v>
      </c>
      <c r="E13" s="134">
        <v>1069000</v>
      </c>
    </row>
    <row r="14" spans="1:11" x14ac:dyDescent="0.3">
      <c r="A14" s="133">
        <v>2032</v>
      </c>
      <c r="B14" s="134">
        <v>265</v>
      </c>
      <c r="C14" s="134">
        <v>22000</v>
      </c>
      <c r="D14" s="134">
        <v>61500</v>
      </c>
      <c r="E14" s="134">
        <v>1069000</v>
      </c>
    </row>
    <row r="15" spans="1:11" x14ac:dyDescent="0.3">
      <c r="A15" s="133">
        <v>2033</v>
      </c>
      <c r="B15" s="134">
        <v>270</v>
      </c>
      <c r="C15" s="134">
        <v>22000</v>
      </c>
      <c r="D15" s="134">
        <v>61500</v>
      </c>
      <c r="E15" s="134">
        <v>1069000</v>
      </c>
    </row>
    <row r="16" spans="1:11" x14ac:dyDescent="0.3">
      <c r="A16" s="133">
        <v>2034</v>
      </c>
      <c r="B16" s="134">
        <v>274</v>
      </c>
      <c r="C16" s="134">
        <v>22000</v>
      </c>
      <c r="D16" s="134">
        <v>61500</v>
      </c>
      <c r="E16" s="134">
        <v>1069000</v>
      </c>
    </row>
    <row r="17" spans="1:5" x14ac:dyDescent="0.3">
      <c r="A17" s="133">
        <v>2035</v>
      </c>
      <c r="B17" s="134">
        <v>278</v>
      </c>
      <c r="C17" s="134">
        <v>22000</v>
      </c>
      <c r="D17" s="134">
        <v>61500</v>
      </c>
      <c r="E17" s="134">
        <v>1069000</v>
      </c>
    </row>
    <row r="18" spans="1:5" x14ac:dyDescent="0.3">
      <c r="A18" s="133">
        <v>2036</v>
      </c>
      <c r="B18" s="134">
        <v>282</v>
      </c>
      <c r="C18" s="134">
        <v>22000</v>
      </c>
      <c r="D18" s="134">
        <v>61500</v>
      </c>
      <c r="E18" s="134">
        <v>1069000</v>
      </c>
    </row>
    <row r="19" spans="1:5" x14ac:dyDescent="0.3">
      <c r="A19" s="133">
        <v>2037</v>
      </c>
      <c r="B19" s="134">
        <v>287</v>
      </c>
      <c r="C19" s="134">
        <v>22000</v>
      </c>
      <c r="D19" s="134">
        <v>61500</v>
      </c>
      <c r="E19" s="134">
        <v>1069000</v>
      </c>
    </row>
    <row r="20" spans="1:5" x14ac:dyDescent="0.3">
      <c r="A20" s="133">
        <v>2038</v>
      </c>
      <c r="B20" s="134">
        <v>290</v>
      </c>
      <c r="C20" s="134">
        <v>22000</v>
      </c>
      <c r="D20" s="134">
        <v>61500</v>
      </c>
      <c r="E20" s="134">
        <v>1069000</v>
      </c>
    </row>
    <row r="21" spans="1:5" x14ac:dyDescent="0.3">
      <c r="A21" s="133">
        <v>2039</v>
      </c>
      <c r="B21" s="134">
        <v>294</v>
      </c>
      <c r="C21" s="134">
        <v>22000</v>
      </c>
      <c r="D21" s="134">
        <v>61500</v>
      </c>
      <c r="E21" s="134">
        <v>1069000</v>
      </c>
    </row>
    <row r="22" spans="1:5" x14ac:dyDescent="0.3">
      <c r="A22" s="133">
        <v>2040</v>
      </c>
      <c r="B22" s="134">
        <v>299</v>
      </c>
      <c r="C22" s="134">
        <v>22000</v>
      </c>
      <c r="D22" s="134">
        <v>61500</v>
      </c>
      <c r="E22" s="134">
        <v>1069000</v>
      </c>
    </row>
    <row r="23" spans="1:5" x14ac:dyDescent="0.3">
      <c r="A23" s="133">
        <v>2041</v>
      </c>
      <c r="B23" s="134">
        <v>303</v>
      </c>
      <c r="C23" s="134">
        <v>22000</v>
      </c>
      <c r="D23" s="134">
        <v>61500</v>
      </c>
      <c r="E23" s="134">
        <v>1069000</v>
      </c>
    </row>
    <row r="24" spans="1:5" x14ac:dyDescent="0.3">
      <c r="A24" s="133">
        <v>2042</v>
      </c>
      <c r="B24" s="134">
        <v>308</v>
      </c>
      <c r="C24" s="134">
        <v>22000</v>
      </c>
      <c r="D24" s="134">
        <v>61500</v>
      </c>
      <c r="E24" s="134">
        <v>1069000</v>
      </c>
    </row>
    <row r="25" spans="1:5" x14ac:dyDescent="0.3">
      <c r="A25" s="133">
        <v>2043</v>
      </c>
      <c r="B25" s="134">
        <v>312</v>
      </c>
      <c r="C25" s="134">
        <v>22000</v>
      </c>
      <c r="D25" s="134">
        <v>61500</v>
      </c>
      <c r="E25" s="134">
        <v>1069000</v>
      </c>
    </row>
    <row r="26" spans="1:5" x14ac:dyDescent="0.3">
      <c r="A26" s="133">
        <v>2044</v>
      </c>
      <c r="B26" s="134">
        <v>317</v>
      </c>
      <c r="C26" s="134">
        <v>22000</v>
      </c>
      <c r="D26" s="134">
        <v>61500</v>
      </c>
      <c r="E26" s="134">
        <v>1069000</v>
      </c>
    </row>
    <row r="27" spans="1:5" x14ac:dyDescent="0.3">
      <c r="A27" s="133">
        <v>2045</v>
      </c>
      <c r="B27" s="134">
        <v>321</v>
      </c>
      <c r="C27" s="134">
        <v>22000</v>
      </c>
      <c r="D27" s="134">
        <v>61500</v>
      </c>
      <c r="E27" s="134">
        <v>1069000</v>
      </c>
    </row>
    <row r="28" spans="1:5" x14ac:dyDescent="0.3">
      <c r="A28" s="133">
        <v>2046</v>
      </c>
      <c r="B28" s="134">
        <v>326</v>
      </c>
      <c r="C28" s="134">
        <v>22000</v>
      </c>
      <c r="D28" s="134">
        <v>61500</v>
      </c>
      <c r="E28" s="134">
        <v>1069000</v>
      </c>
    </row>
    <row r="29" spans="1:5" x14ac:dyDescent="0.3">
      <c r="A29" s="133">
        <v>2047</v>
      </c>
      <c r="B29" s="134">
        <v>331</v>
      </c>
      <c r="C29" s="134">
        <v>22000</v>
      </c>
      <c r="D29" s="134">
        <v>61500</v>
      </c>
      <c r="E29" s="134">
        <v>1069000</v>
      </c>
    </row>
    <row r="30" spans="1:5" x14ac:dyDescent="0.3">
      <c r="A30" s="133">
        <v>2048</v>
      </c>
      <c r="B30" s="134">
        <v>336</v>
      </c>
      <c r="C30" s="134">
        <v>22000</v>
      </c>
      <c r="D30" s="134">
        <v>61500</v>
      </c>
      <c r="E30" s="134">
        <v>1069000</v>
      </c>
    </row>
    <row r="31" spans="1:5" x14ac:dyDescent="0.3">
      <c r="A31" s="133">
        <v>2049</v>
      </c>
      <c r="B31" s="134">
        <v>340</v>
      </c>
      <c r="C31" s="134">
        <v>22000</v>
      </c>
      <c r="D31" s="134">
        <v>61500</v>
      </c>
      <c r="E31" s="134">
        <v>1069000</v>
      </c>
    </row>
    <row r="32" spans="1:5" x14ac:dyDescent="0.3">
      <c r="A32" s="133">
        <v>2050</v>
      </c>
      <c r="B32" s="134">
        <v>345</v>
      </c>
      <c r="C32" s="134">
        <v>22000</v>
      </c>
      <c r="D32" s="134">
        <v>61500</v>
      </c>
      <c r="E32" s="134">
        <v>1069000</v>
      </c>
    </row>
    <row r="33" spans="1:5" x14ac:dyDescent="0.3">
      <c r="A33" s="133">
        <v>2051</v>
      </c>
      <c r="B33" s="134">
        <v>349</v>
      </c>
      <c r="C33" s="134">
        <v>22000</v>
      </c>
      <c r="D33" s="134">
        <v>61500</v>
      </c>
      <c r="E33" s="134">
        <v>1069000</v>
      </c>
    </row>
    <row r="34" spans="1:5" x14ac:dyDescent="0.3">
      <c r="A34" s="133">
        <v>2052</v>
      </c>
      <c r="B34" s="134">
        <v>353</v>
      </c>
      <c r="C34" s="134">
        <v>22000</v>
      </c>
      <c r="D34" s="134">
        <v>61500</v>
      </c>
      <c r="E34" s="134">
        <v>1069000</v>
      </c>
    </row>
    <row r="35" spans="1:5" ht="15" thickBot="1" x14ac:dyDescent="0.35">
      <c r="A35" s="135">
        <v>2053</v>
      </c>
      <c r="B35" s="136">
        <v>357</v>
      </c>
      <c r="C35" s="136">
        <v>22000</v>
      </c>
      <c r="D35" s="136">
        <v>61500</v>
      </c>
      <c r="E35" s="136">
        <v>1069000</v>
      </c>
    </row>
    <row r="36" spans="1:5" x14ac:dyDescent="0.3">
      <c r="A36" s="137">
        <v>2054</v>
      </c>
      <c r="B36" s="138">
        <f t="shared" ref="B36:E48" si="0">B35</f>
        <v>357</v>
      </c>
      <c r="C36" s="138">
        <f t="shared" si="0"/>
        <v>22000</v>
      </c>
      <c r="D36" s="138">
        <f t="shared" si="0"/>
        <v>61500</v>
      </c>
      <c r="E36" s="138">
        <f t="shared" si="0"/>
        <v>1069000</v>
      </c>
    </row>
    <row r="37" spans="1:5" x14ac:dyDescent="0.3">
      <c r="A37" s="137">
        <v>2055</v>
      </c>
      <c r="B37" s="138">
        <f t="shared" si="0"/>
        <v>357</v>
      </c>
      <c r="C37" s="138">
        <f t="shared" si="0"/>
        <v>22000</v>
      </c>
      <c r="D37" s="138">
        <f t="shared" si="0"/>
        <v>61500</v>
      </c>
      <c r="E37" s="138">
        <f t="shared" si="0"/>
        <v>1069000</v>
      </c>
    </row>
    <row r="38" spans="1:5" x14ac:dyDescent="0.3">
      <c r="A38" s="137">
        <v>2056</v>
      </c>
      <c r="B38" s="138">
        <f t="shared" si="0"/>
        <v>357</v>
      </c>
      <c r="C38" s="138">
        <f t="shared" si="0"/>
        <v>22000</v>
      </c>
      <c r="D38" s="138">
        <f t="shared" si="0"/>
        <v>61500</v>
      </c>
      <c r="E38" s="138">
        <f t="shared" si="0"/>
        <v>1069000</v>
      </c>
    </row>
    <row r="39" spans="1:5" x14ac:dyDescent="0.3">
      <c r="A39" s="137">
        <v>2057</v>
      </c>
      <c r="B39" s="138">
        <f t="shared" si="0"/>
        <v>357</v>
      </c>
      <c r="C39" s="138">
        <f t="shared" si="0"/>
        <v>22000</v>
      </c>
      <c r="D39" s="138">
        <f t="shared" si="0"/>
        <v>61500</v>
      </c>
      <c r="E39" s="138">
        <f t="shared" si="0"/>
        <v>1069000</v>
      </c>
    </row>
    <row r="40" spans="1:5" x14ac:dyDescent="0.3">
      <c r="A40" s="137">
        <v>2058</v>
      </c>
      <c r="B40" s="138">
        <f t="shared" si="0"/>
        <v>357</v>
      </c>
      <c r="C40" s="138">
        <f t="shared" si="0"/>
        <v>22000</v>
      </c>
      <c r="D40" s="138">
        <f t="shared" si="0"/>
        <v>61500</v>
      </c>
      <c r="E40" s="138">
        <f t="shared" si="0"/>
        <v>1069000</v>
      </c>
    </row>
    <row r="41" spans="1:5" x14ac:dyDescent="0.3">
      <c r="A41" s="137">
        <v>2059</v>
      </c>
      <c r="B41" s="138">
        <f t="shared" si="0"/>
        <v>357</v>
      </c>
      <c r="C41" s="138">
        <f t="shared" si="0"/>
        <v>22000</v>
      </c>
      <c r="D41" s="138">
        <f t="shared" si="0"/>
        <v>61500</v>
      </c>
      <c r="E41" s="138">
        <f t="shared" si="0"/>
        <v>1069000</v>
      </c>
    </row>
    <row r="42" spans="1:5" x14ac:dyDescent="0.3">
      <c r="A42" s="137">
        <v>2060</v>
      </c>
      <c r="B42" s="138">
        <f t="shared" si="0"/>
        <v>357</v>
      </c>
      <c r="C42" s="138">
        <f t="shared" si="0"/>
        <v>22000</v>
      </c>
      <c r="D42" s="138">
        <f t="shared" si="0"/>
        <v>61500</v>
      </c>
      <c r="E42" s="138">
        <f t="shared" si="0"/>
        <v>1069000</v>
      </c>
    </row>
    <row r="43" spans="1:5" x14ac:dyDescent="0.3">
      <c r="A43" s="137">
        <v>2061</v>
      </c>
      <c r="B43" s="138">
        <f t="shared" si="0"/>
        <v>357</v>
      </c>
      <c r="C43" s="138">
        <f t="shared" si="0"/>
        <v>22000</v>
      </c>
      <c r="D43" s="138">
        <f t="shared" si="0"/>
        <v>61500</v>
      </c>
      <c r="E43" s="138">
        <f t="shared" si="0"/>
        <v>1069000</v>
      </c>
    </row>
    <row r="44" spans="1:5" x14ac:dyDescent="0.3">
      <c r="A44" s="137">
        <v>2062</v>
      </c>
      <c r="B44" s="138">
        <f t="shared" si="0"/>
        <v>357</v>
      </c>
      <c r="C44" s="138">
        <f t="shared" si="0"/>
        <v>22000</v>
      </c>
      <c r="D44" s="138">
        <f t="shared" si="0"/>
        <v>61500</v>
      </c>
      <c r="E44" s="138">
        <f t="shared" si="0"/>
        <v>1069000</v>
      </c>
    </row>
    <row r="45" spans="1:5" x14ac:dyDescent="0.3">
      <c r="A45" s="137">
        <v>2063</v>
      </c>
      <c r="B45" s="138">
        <f t="shared" si="0"/>
        <v>357</v>
      </c>
      <c r="C45" s="138">
        <f t="shared" si="0"/>
        <v>22000</v>
      </c>
      <c r="D45" s="138">
        <f t="shared" si="0"/>
        <v>61500</v>
      </c>
      <c r="E45" s="138">
        <f t="shared" si="0"/>
        <v>1069000</v>
      </c>
    </row>
    <row r="46" spans="1:5" x14ac:dyDescent="0.3">
      <c r="A46" s="137">
        <v>2064</v>
      </c>
      <c r="B46" s="138">
        <f t="shared" si="0"/>
        <v>357</v>
      </c>
      <c r="C46" s="138">
        <f t="shared" si="0"/>
        <v>22000</v>
      </c>
      <c r="D46" s="138">
        <f t="shared" si="0"/>
        <v>61500</v>
      </c>
      <c r="E46" s="138">
        <f t="shared" si="0"/>
        <v>1069000</v>
      </c>
    </row>
    <row r="47" spans="1:5" x14ac:dyDescent="0.3">
      <c r="A47" s="137">
        <v>2065</v>
      </c>
      <c r="B47" s="138">
        <f t="shared" si="0"/>
        <v>357</v>
      </c>
      <c r="C47" s="138">
        <f t="shared" si="0"/>
        <v>22000</v>
      </c>
      <c r="D47" s="138">
        <f t="shared" si="0"/>
        <v>61500</v>
      </c>
      <c r="E47" s="138">
        <f t="shared" si="0"/>
        <v>1069000</v>
      </c>
    </row>
    <row r="48" spans="1:5" x14ac:dyDescent="0.3">
      <c r="A48" s="137">
        <v>2066</v>
      </c>
      <c r="B48" s="138">
        <f t="shared" si="0"/>
        <v>357</v>
      </c>
      <c r="C48" s="138">
        <f t="shared" si="0"/>
        <v>22000</v>
      </c>
      <c r="D48" s="138">
        <f t="shared" si="0"/>
        <v>61500</v>
      </c>
      <c r="E48" s="138">
        <f t="shared" si="0"/>
        <v>1069000</v>
      </c>
    </row>
  </sheetData>
  <mergeCells count="1">
    <mergeCell ref="B2:E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FFBA9-6F83-405C-A8DE-E743229BA454}">
  <sheetPr>
    <tabColor theme="1"/>
  </sheetPr>
  <dimension ref="B3:K63"/>
  <sheetViews>
    <sheetView showGridLines="0" topLeftCell="D1" workbookViewId="0">
      <selection activeCell="N30" sqref="N30"/>
    </sheetView>
  </sheetViews>
  <sheetFormatPr defaultRowHeight="14.4" x14ac:dyDescent="0.3"/>
  <cols>
    <col min="1" max="1" width="4.5546875" customWidth="1"/>
    <col min="2" max="2" width="17.5546875" customWidth="1"/>
    <col min="3" max="3" width="92.5546875" bestFit="1" customWidth="1"/>
    <col min="4" max="4" width="38.5546875" bestFit="1" customWidth="1"/>
    <col min="5" max="5" width="12" bestFit="1" customWidth="1"/>
  </cols>
  <sheetData>
    <row r="3" spans="2:11" x14ac:dyDescent="0.3">
      <c r="C3" t="str">
        <f>'Project Info'!D11</f>
        <v>Agency Size Characteristics</v>
      </c>
      <c r="D3" t="str">
        <f>'Project Info'!F11</f>
        <v>Medium Metropolitan Agenices (25M&gt;&lt;50M annual passengers)</v>
      </c>
    </row>
    <row r="5" spans="2:11" x14ac:dyDescent="0.3">
      <c r="C5" t="str">
        <f>'Project Info'!D20</f>
        <v>Number of Buses to be Retrofitted with Automation Equipment (based on retrofit schedule)</v>
      </c>
      <c r="D5" t="s">
        <v>171</v>
      </c>
      <c r="E5">
        <f>'Project Info'!G20</f>
        <v>104</v>
      </c>
    </row>
    <row r="6" spans="2:11" x14ac:dyDescent="0.3">
      <c r="C6" t="str">
        <f>'Project Info'!D24</f>
        <v>Number of Operational Cycles per Day</v>
      </c>
      <c r="D6" t="s">
        <v>168</v>
      </c>
      <c r="E6" t="e">
        <f>'Project Info'!G24</f>
        <v>#REF!</v>
      </c>
    </row>
    <row r="7" spans="2:11" x14ac:dyDescent="0.3">
      <c r="C7" t="str">
        <f>'Project Info'!D27</f>
        <v>Service Days per Year</v>
      </c>
      <c r="D7" t="s">
        <v>200</v>
      </c>
      <c r="E7" t="e">
        <f>'Project Info'!G27</f>
        <v>#REF!</v>
      </c>
      <c r="J7" t="s">
        <v>201</v>
      </c>
    </row>
    <row r="8" spans="2:11" x14ac:dyDescent="0.3">
      <c r="K8" t="s">
        <v>202</v>
      </c>
    </row>
    <row r="9" spans="2:11" x14ac:dyDescent="0.3">
      <c r="B9" t="s">
        <v>203</v>
      </c>
      <c r="K9" t="s">
        <v>204</v>
      </c>
    </row>
    <row r="10" spans="2:11" x14ac:dyDescent="0.3">
      <c r="C10" t="str">
        <f>'Project Info'!D37</f>
        <v>Average Hourly Rate - Vehicle Operators (2024$/hour) - (Capmetro's input)</v>
      </c>
      <c r="D10" t="s">
        <v>159</v>
      </c>
      <c r="E10">
        <f>'Project Info'!G37</f>
        <v>74.034000000000006</v>
      </c>
      <c r="K10" t="s">
        <v>205</v>
      </c>
    </row>
    <row r="11" spans="2:11" x14ac:dyDescent="0.3">
      <c r="C11" t="str">
        <f>'Project Info'!D41</f>
        <v>Average Hourly Rate - Maintenance Staff (2024$/hour) - (Capmetro's input)</v>
      </c>
      <c r="D11" t="s">
        <v>159</v>
      </c>
      <c r="E11">
        <f>'Project Info'!G41</f>
        <v>95.04000000000002</v>
      </c>
      <c r="K11" t="s">
        <v>206</v>
      </c>
    </row>
    <row r="13" spans="2:11" x14ac:dyDescent="0.3">
      <c r="C13" t="e">
        <f>#REF!</f>
        <v>#REF!</v>
      </c>
      <c r="D13" t="e">
        <f>#REF!</f>
        <v>#REF!</v>
      </c>
      <c r="E13" t="e">
        <f>#REF!</f>
        <v>#REF!</v>
      </c>
    </row>
    <row r="14" spans="2:11" x14ac:dyDescent="0.3">
      <c r="C14" t="e">
        <f>#REF!</f>
        <v>#REF!</v>
      </c>
      <c r="D14" t="e">
        <f>#REF!</f>
        <v>#REF!</v>
      </c>
      <c r="E14" t="e">
        <f>#REF!</f>
        <v>#REF!</v>
      </c>
    </row>
    <row r="15" spans="2:11" x14ac:dyDescent="0.3">
      <c r="C15" t="e">
        <f>#REF!</f>
        <v>#REF!</v>
      </c>
      <c r="D15" t="e">
        <f>#REF!</f>
        <v>#REF!</v>
      </c>
      <c r="E15" t="e">
        <f>#REF!</f>
        <v>#REF!</v>
      </c>
    </row>
    <row r="16" spans="2:11" x14ac:dyDescent="0.3">
      <c r="C16" t="e">
        <f>#REF!</f>
        <v>#REF!</v>
      </c>
      <c r="D16" t="s">
        <v>168</v>
      </c>
      <c r="E16" t="e">
        <f>#REF!</f>
        <v>#REF!</v>
      </c>
    </row>
    <row r="17" spans="2:11" x14ac:dyDescent="0.3">
      <c r="C17" t="e">
        <f>#REF!</f>
        <v>#REF!</v>
      </c>
      <c r="D17" t="s">
        <v>200</v>
      </c>
      <c r="E17" t="e">
        <f>#REF!</f>
        <v>#REF!</v>
      </c>
    </row>
    <row r="18" spans="2:11" x14ac:dyDescent="0.3">
      <c r="C18" t="e">
        <f>#REF!</f>
        <v>#REF!</v>
      </c>
      <c r="D18" t="s">
        <v>168</v>
      </c>
      <c r="E18" t="e">
        <f>#REF!</f>
        <v>#REF!</v>
      </c>
    </row>
    <row r="19" spans="2:11" x14ac:dyDescent="0.3">
      <c r="C19" t="e">
        <f>#REF!</f>
        <v>#REF!</v>
      </c>
      <c r="D19" t="s">
        <v>171</v>
      </c>
      <c r="E19" t="e">
        <f>#REF!</f>
        <v>#REF!</v>
      </c>
    </row>
    <row r="20" spans="2:11" x14ac:dyDescent="0.3">
      <c r="C20" t="e">
        <f>#REF!</f>
        <v>#REF!</v>
      </c>
      <c r="D20" t="s">
        <v>182</v>
      </c>
      <c r="E20" t="e">
        <f>#REF!</f>
        <v>#REF!</v>
      </c>
    </row>
    <row r="21" spans="2:11" x14ac:dyDescent="0.3">
      <c r="C21" t="e">
        <f>#REF!</f>
        <v>#REF!</v>
      </c>
      <c r="D21" t="s">
        <v>159</v>
      </c>
      <c r="E21" t="e">
        <f>#REF!</f>
        <v>#REF!</v>
      </c>
    </row>
    <row r="23" spans="2:11" x14ac:dyDescent="0.3">
      <c r="B23" t="s">
        <v>207</v>
      </c>
      <c r="J23" t="s">
        <v>208</v>
      </c>
    </row>
    <row r="24" spans="2:11" x14ac:dyDescent="0.3">
      <c r="C24" t="e">
        <f>#REF!</f>
        <v>#REF!</v>
      </c>
      <c r="D24" t="s">
        <v>168</v>
      </c>
      <c r="E24" t="e">
        <f>#REF!</f>
        <v>#REF!</v>
      </c>
      <c r="K24" t="s">
        <v>209</v>
      </c>
    </row>
    <row r="25" spans="2:11" x14ac:dyDescent="0.3">
      <c r="C25" t="e">
        <f>#REF!</f>
        <v>#REF!</v>
      </c>
      <c r="D25" t="s">
        <v>182</v>
      </c>
      <c r="E25" t="e">
        <f>#REF!</f>
        <v>#REF!</v>
      </c>
      <c r="K25" t="s">
        <v>210</v>
      </c>
    </row>
    <row r="26" spans="2:11" x14ac:dyDescent="0.3">
      <c r="C26" t="e">
        <f>#REF!</f>
        <v>#REF!</v>
      </c>
      <c r="D26" t="s">
        <v>159</v>
      </c>
      <c r="E26" t="e">
        <f>#REF!</f>
        <v>#REF!</v>
      </c>
    </row>
    <row r="28" spans="2:11" x14ac:dyDescent="0.3">
      <c r="B28" t="s">
        <v>211</v>
      </c>
    </row>
    <row r="29" spans="2:11" x14ac:dyDescent="0.3">
      <c r="C29" t="e">
        <f>#REF!</f>
        <v>#REF!</v>
      </c>
      <c r="D29" t="s">
        <v>171</v>
      </c>
      <c r="E29" t="e">
        <f>#REF!</f>
        <v>#REF!</v>
      </c>
    </row>
    <row r="30" spans="2:11" x14ac:dyDescent="0.3">
      <c r="C30" t="e">
        <f>#REF!</f>
        <v>#REF!</v>
      </c>
      <c r="D30" t="s">
        <v>160</v>
      </c>
      <c r="E30" t="e">
        <f>#REF!</f>
        <v>#REF!</v>
      </c>
    </row>
    <row r="31" spans="2:11" x14ac:dyDescent="0.3">
      <c r="C31" t="e">
        <f>#REF!</f>
        <v>#REF!</v>
      </c>
      <c r="D31" t="e">
        <f>#REF!</f>
        <v>#REF!</v>
      </c>
      <c r="E31" t="e">
        <f>#REF!</f>
        <v>#REF!</v>
      </c>
    </row>
    <row r="32" spans="2:11" x14ac:dyDescent="0.3">
      <c r="C32" t="e">
        <f>#REF!</f>
        <v>#REF!</v>
      </c>
      <c r="D32" t="e">
        <f>#REF!</f>
        <v>#REF!</v>
      </c>
      <c r="E32" t="e">
        <f>#REF!</f>
        <v>#REF!</v>
      </c>
    </row>
    <row r="33" spans="2:5" x14ac:dyDescent="0.3">
      <c r="C33" t="e">
        <f>#REF!</f>
        <v>#REF!</v>
      </c>
      <c r="D33" t="s">
        <v>212</v>
      </c>
      <c r="E33" t="e">
        <f>#REF!</f>
        <v>#REF!</v>
      </c>
    </row>
    <row r="34" spans="2:5" x14ac:dyDescent="0.3">
      <c r="C34" t="e">
        <f>#REF!</f>
        <v>#REF!</v>
      </c>
      <c r="D34" t="s">
        <v>212</v>
      </c>
      <c r="E34" t="e">
        <f>#REF!</f>
        <v>#REF!</v>
      </c>
    </row>
    <row r="35" spans="2:5" x14ac:dyDescent="0.3">
      <c r="C35" t="e">
        <f>#REF!</f>
        <v>#REF!</v>
      </c>
      <c r="D35" t="e">
        <f>#REF!</f>
        <v>#REF!</v>
      </c>
      <c r="E35" t="e">
        <f>#REF!</f>
        <v>#REF!</v>
      </c>
    </row>
    <row r="37" spans="2:5" x14ac:dyDescent="0.3">
      <c r="B37" t="s">
        <v>213</v>
      </c>
    </row>
    <row r="39" spans="2:5" x14ac:dyDescent="0.3">
      <c r="C39" t="e">
        <f>#REF!</f>
        <v>#REF!</v>
      </c>
      <c r="D39" t="s">
        <v>214</v>
      </c>
      <c r="E39" t="e">
        <f>#REF!</f>
        <v>#REF!</v>
      </c>
    </row>
    <row r="40" spans="2:5" x14ac:dyDescent="0.3">
      <c r="C40" t="e">
        <f>#REF!</f>
        <v>#REF!</v>
      </c>
      <c r="D40" t="s">
        <v>214</v>
      </c>
      <c r="E40" t="e">
        <f>#REF!</f>
        <v>#REF!</v>
      </c>
    </row>
    <row r="41" spans="2:5" x14ac:dyDescent="0.3">
      <c r="C41" t="e">
        <f>#REF!</f>
        <v>#REF!</v>
      </c>
      <c r="D41" t="e">
        <f>#REF!</f>
        <v>#REF!</v>
      </c>
      <c r="E41" t="e">
        <f>#REF!</f>
        <v>#REF!</v>
      </c>
    </row>
    <row r="42" spans="2:5" x14ac:dyDescent="0.3">
      <c r="C42" t="e">
        <f>#REF!</f>
        <v>#REF!</v>
      </c>
      <c r="D42" t="e">
        <f>#REF!</f>
        <v>#REF!</v>
      </c>
      <c r="E42" t="e">
        <f>#REF!</f>
        <v>#REF!</v>
      </c>
    </row>
    <row r="43" spans="2:5" x14ac:dyDescent="0.3">
      <c r="C43" t="e">
        <f>#REF!</f>
        <v>#REF!</v>
      </c>
      <c r="D43" t="s">
        <v>159</v>
      </c>
      <c r="E43" t="e">
        <f>#REF!</f>
        <v>#REF!</v>
      </c>
    </row>
    <row r="44" spans="2:5" x14ac:dyDescent="0.3">
      <c r="C44" t="e">
        <f>#REF!</f>
        <v>#REF!</v>
      </c>
      <c r="D44" t="s">
        <v>215</v>
      </c>
      <c r="E44" t="e">
        <f>#REF!</f>
        <v>#REF!</v>
      </c>
    </row>
    <row r="45" spans="2:5" x14ac:dyDescent="0.3">
      <c r="C45" t="e">
        <f>#REF!</f>
        <v>#REF!</v>
      </c>
      <c r="D45" t="s">
        <v>215</v>
      </c>
      <c r="E45" t="e">
        <f>#REF!</f>
        <v>#REF!</v>
      </c>
    </row>
    <row r="46" spans="2:5" x14ac:dyDescent="0.3">
      <c r="C46" t="e">
        <f>#REF!</f>
        <v>#REF!</v>
      </c>
      <c r="D46" t="s">
        <v>215</v>
      </c>
      <c r="E46" t="e">
        <f>#REF!</f>
        <v>#REF!</v>
      </c>
    </row>
    <row r="48" spans="2:5" x14ac:dyDescent="0.3">
      <c r="B48" t="s">
        <v>216</v>
      </c>
    </row>
    <row r="49" spans="2:5" x14ac:dyDescent="0.3">
      <c r="C49" t="e">
        <f>'Project Info'!D48</f>
        <v>#REF!</v>
      </c>
      <c r="D49" t="s">
        <v>217</v>
      </c>
      <c r="E49">
        <f>'Project Info'!G48</f>
        <v>0</v>
      </c>
    </row>
    <row r="50" spans="2:5" x14ac:dyDescent="0.3">
      <c r="C50" t="e">
        <f>'Project Info'!D51</f>
        <v>#REF!</v>
      </c>
      <c r="D50" t="s">
        <v>159</v>
      </c>
      <c r="E50" t="e">
        <f>'Project Info'!G51</f>
        <v>#REF!</v>
      </c>
    </row>
    <row r="51" spans="2:5" x14ac:dyDescent="0.3">
      <c r="C51" t="str">
        <f>'Project Info'!D54</f>
        <v>Area of Single Bus Parking Space (square footage)</v>
      </c>
      <c r="D51" t="s">
        <v>217</v>
      </c>
      <c r="E51">
        <f>'Project Info'!G54</f>
        <v>500</v>
      </c>
    </row>
    <row r="52" spans="2:5" x14ac:dyDescent="0.3">
      <c r="B52" t="s">
        <v>218</v>
      </c>
    </row>
    <row r="53" spans="2:5" x14ac:dyDescent="0.3">
      <c r="C53" t="e">
        <f>'Project Info'!#REF!</f>
        <v>#REF!</v>
      </c>
      <c r="D53" t="s">
        <v>214</v>
      </c>
      <c r="E53" t="e">
        <f>'Project Info'!#REF!</f>
        <v>#REF!</v>
      </c>
    </row>
    <row r="55" spans="2:5" x14ac:dyDescent="0.3">
      <c r="C55" s="63" t="str">
        <f>'Project Info'!D63</f>
        <v>Schedule Inputs - Phase 1</v>
      </c>
      <c r="D55">
        <f>'Project Info'!F63</f>
        <v>0</v>
      </c>
      <c r="E55">
        <f>'Project Info'!G63</f>
        <v>0</v>
      </c>
    </row>
    <row r="56" spans="2:5" x14ac:dyDescent="0.3">
      <c r="C56" t="str">
        <f>'Project Info'!D65</f>
        <v>Scheduled Start Year for Equipment Installation - Phase 1</v>
      </c>
      <c r="D56" t="s">
        <v>161</v>
      </c>
      <c r="E56">
        <f>'Project Info'!G65</f>
        <v>2024</v>
      </c>
    </row>
    <row r="57" spans="2:5" x14ac:dyDescent="0.3">
      <c r="C57" t="str">
        <f>'Project Info'!D67</f>
        <v>Duration of Equipment Installation (years) - Phase 1</v>
      </c>
      <c r="D57" t="s">
        <v>161</v>
      </c>
      <c r="E57">
        <f>'Project Info'!G67</f>
        <v>1</v>
      </c>
    </row>
    <row r="58" spans="2:5" x14ac:dyDescent="0.3">
      <c r="C58" t="str">
        <f>'Project Info'!D69</f>
        <v>Number of Bus Retrofitted in Phase 1</v>
      </c>
      <c r="D58" t="s">
        <v>171</v>
      </c>
      <c r="E58">
        <f>'Project Info'!G69</f>
        <v>1</v>
      </c>
    </row>
    <row r="60" spans="2:5" x14ac:dyDescent="0.3">
      <c r="C60" s="63" t="str">
        <f>'Project Info'!D72</f>
        <v>Schedule Inputs - Phase 2</v>
      </c>
      <c r="E60">
        <f>'Project Info'!G72</f>
        <v>0</v>
      </c>
    </row>
    <row r="61" spans="2:5" x14ac:dyDescent="0.3">
      <c r="C61" t="str">
        <f>'Project Info'!D74</f>
        <v>Scheduled Start Year for Equipment Installation - Phase 2</v>
      </c>
      <c r="D61" t="s">
        <v>161</v>
      </c>
      <c r="E61">
        <f>'Project Info'!G74</f>
        <v>2025</v>
      </c>
    </row>
    <row r="62" spans="2:5" x14ac:dyDescent="0.3">
      <c r="C62" t="str">
        <f>'Project Info'!D76</f>
        <v>Duration of Equipment Installation (years) - Phase 2</v>
      </c>
      <c r="D62" t="s">
        <v>161</v>
      </c>
      <c r="E62">
        <f>'Project Info'!G76</f>
        <v>1</v>
      </c>
    </row>
    <row r="63" spans="2:5" x14ac:dyDescent="0.3">
      <c r="C63" t="str">
        <f>'Project Info'!D78</f>
        <v>Number of Bus Retrofitted in Phase 2</v>
      </c>
      <c r="D63" t="s">
        <v>219</v>
      </c>
      <c r="E63">
        <f>'Project Info'!G78</f>
        <v>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theme="3"/>
  </sheetPr>
  <dimension ref="A1:BC199"/>
  <sheetViews>
    <sheetView tabSelected="1" zoomScaleNormal="100" workbookViewId="0">
      <pane xSplit="8" ySplit="7" topLeftCell="I8" activePane="bottomRight" state="frozen"/>
      <selection pane="topRight" activeCell="E24" sqref="A24:XFD25"/>
      <selection pane="bottomLeft" activeCell="E24" sqref="A24:XFD25"/>
      <selection pane="bottomRight" activeCell="H48" sqref="H48"/>
    </sheetView>
  </sheetViews>
  <sheetFormatPr defaultColWidth="0" defaultRowHeight="14.4" zeroHeight="1" x14ac:dyDescent="0.3"/>
  <cols>
    <col min="1" max="4" width="1.5546875" style="2" customWidth="1"/>
    <col min="5" max="5" width="74.5546875" style="2" customWidth="1"/>
    <col min="6" max="6" width="14.5546875" style="2" customWidth="1"/>
    <col min="7" max="7" width="15.5546875" style="2" customWidth="1"/>
    <col min="8" max="8" width="2.5546875" style="2" customWidth="1"/>
    <col min="9" max="53" width="12.5546875" style="2" customWidth="1"/>
    <col min="54" max="54" width="9.44140625" style="2" customWidth="1"/>
    <col min="55" max="55" width="0" style="2" hidden="1" customWidth="1"/>
    <col min="56" max="16384" width="9.44140625" style="2" hidden="1"/>
  </cols>
  <sheetData>
    <row r="1" spans="1:54" ht="5.25" customHeight="1" x14ac:dyDescent="0.3">
      <c r="A1" s="21"/>
      <c r="B1" s="21"/>
      <c r="C1" s="21"/>
      <c r="D1" s="21"/>
      <c r="E1" s="29"/>
    </row>
    <row r="2" spans="1:54" s="1" customFormat="1" x14ac:dyDescent="0.3">
      <c r="E2" s="30" t="s">
        <v>141</v>
      </c>
      <c r="F2" s="1" t="s">
        <v>142</v>
      </c>
      <c r="G2" s="1" t="s">
        <v>143</v>
      </c>
      <c r="I2" s="31">
        <v>2019</v>
      </c>
      <c r="J2" s="31">
        <v>2020</v>
      </c>
      <c r="K2" s="31">
        <v>2021</v>
      </c>
      <c r="L2" s="31">
        <v>2022</v>
      </c>
      <c r="M2" s="31">
        <v>2023</v>
      </c>
      <c r="N2" s="31">
        <v>2024</v>
      </c>
      <c r="O2" s="31">
        <v>2025</v>
      </c>
      <c r="P2" s="31">
        <v>2026</v>
      </c>
      <c r="Q2" s="31">
        <v>2027</v>
      </c>
      <c r="R2" s="31">
        <v>2028</v>
      </c>
      <c r="S2" s="31">
        <v>2029</v>
      </c>
      <c r="T2" s="31">
        <v>2030</v>
      </c>
      <c r="U2" s="31">
        <v>2031</v>
      </c>
      <c r="V2" s="31">
        <v>2032</v>
      </c>
      <c r="W2" s="31">
        <v>2033</v>
      </c>
      <c r="X2" s="31">
        <v>2034</v>
      </c>
      <c r="Y2" s="31">
        <v>2035</v>
      </c>
      <c r="Z2" s="31">
        <v>2036</v>
      </c>
      <c r="AA2" s="31">
        <v>2037</v>
      </c>
      <c r="AB2" s="31">
        <v>2038</v>
      </c>
      <c r="AC2" s="31">
        <v>2039</v>
      </c>
      <c r="AD2" s="31">
        <v>2040</v>
      </c>
      <c r="AE2" s="31">
        <v>2041</v>
      </c>
      <c r="AF2" s="31">
        <v>2042</v>
      </c>
      <c r="AG2" s="31">
        <v>2043</v>
      </c>
      <c r="AH2" s="31">
        <v>2044</v>
      </c>
      <c r="AI2" s="31">
        <v>2045</v>
      </c>
      <c r="AJ2" s="31">
        <v>2046</v>
      </c>
      <c r="AK2" s="31">
        <v>2047</v>
      </c>
      <c r="AL2" s="31">
        <v>2048</v>
      </c>
      <c r="AM2" s="31">
        <v>2049</v>
      </c>
      <c r="AN2" s="31">
        <v>2050</v>
      </c>
      <c r="AO2" s="31">
        <v>2051</v>
      </c>
      <c r="AP2" s="31">
        <v>2052</v>
      </c>
      <c r="AQ2" s="31">
        <v>2053</v>
      </c>
      <c r="AR2" s="31">
        <v>2054</v>
      </c>
      <c r="AS2" s="31">
        <v>2055</v>
      </c>
      <c r="AT2" s="31">
        <v>2056</v>
      </c>
      <c r="AU2" s="31">
        <v>2057</v>
      </c>
      <c r="AV2" s="31">
        <v>2058</v>
      </c>
      <c r="AW2" s="31">
        <v>2059</v>
      </c>
      <c r="AX2" s="31">
        <v>2060</v>
      </c>
      <c r="AY2" s="31">
        <v>2061</v>
      </c>
      <c r="AZ2" s="31">
        <v>2062</v>
      </c>
      <c r="BA2" s="31">
        <v>2063</v>
      </c>
    </row>
    <row r="3" spans="1:54" ht="5.25" customHeight="1" x14ac:dyDescent="0.3">
      <c r="E3" s="29"/>
      <c r="I3" s="1"/>
      <c r="J3" s="1"/>
      <c r="K3" s="1"/>
      <c r="L3" s="1"/>
      <c r="M3" s="1"/>
      <c r="N3" s="1"/>
      <c r="O3" s="1"/>
      <c r="P3" s="1"/>
      <c r="Q3" s="1"/>
    </row>
    <row r="4" spans="1:54" ht="5.25" customHeight="1" x14ac:dyDescent="0.3">
      <c r="E4" s="29"/>
      <c r="I4" s="1"/>
      <c r="J4" s="1"/>
      <c r="K4" s="1"/>
      <c r="L4" s="1"/>
      <c r="M4" s="1"/>
      <c r="N4" s="1"/>
      <c r="O4" s="1"/>
      <c r="P4" s="1"/>
      <c r="Q4" s="1"/>
    </row>
    <row r="5" spans="1:54" ht="15" customHeight="1" x14ac:dyDescent="0.3">
      <c r="E5" s="19" t="s">
        <v>163</v>
      </c>
      <c r="F5" s="129">
        <v>2024</v>
      </c>
      <c r="I5" s="1"/>
      <c r="J5" s="1"/>
      <c r="K5" s="1"/>
      <c r="L5" s="1"/>
      <c r="M5" s="1"/>
      <c r="N5" s="1"/>
      <c r="O5" s="1"/>
      <c r="P5" s="1"/>
      <c r="Q5" s="1"/>
    </row>
    <row r="6" spans="1:54" ht="15" customHeight="1" x14ac:dyDescent="0.3">
      <c r="E6" s="19" t="s">
        <v>164</v>
      </c>
      <c r="F6" s="19">
        <v>2025</v>
      </c>
      <c r="I6" s="1"/>
      <c r="J6" s="1"/>
      <c r="K6" s="1"/>
      <c r="L6" s="1"/>
      <c r="M6" s="1"/>
      <c r="N6" s="1"/>
      <c r="O6" s="1"/>
      <c r="P6" s="1"/>
      <c r="Q6" s="1"/>
    </row>
    <row r="7" spans="1:54" ht="15" customHeight="1" x14ac:dyDescent="0.3">
      <c r="E7" s="19" t="s">
        <v>165</v>
      </c>
      <c r="F7" s="19">
        <v>2025</v>
      </c>
      <c r="I7" s="1"/>
      <c r="J7" s="1"/>
      <c r="K7" s="1"/>
      <c r="L7" s="1"/>
      <c r="M7" s="1"/>
      <c r="N7" s="1"/>
      <c r="O7" s="1"/>
      <c r="P7" s="1"/>
      <c r="Q7" s="1"/>
    </row>
    <row r="8" spans="1:54" ht="15" customHeight="1" x14ac:dyDescent="0.3">
      <c r="E8" s="19" t="s">
        <v>220</v>
      </c>
      <c r="F8" s="19" t="s">
        <v>229</v>
      </c>
      <c r="I8" s="1"/>
      <c r="J8" s="1"/>
      <c r="K8" s="1"/>
      <c r="L8" s="1"/>
      <c r="M8" s="1"/>
      <c r="N8" s="1"/>
      <c r="O8" s="1"/>
      <c r="P8" s="1"/>
      <c r="Q8" s="1"/>
    </row>
    <row r="9" spans="1:54" ht="5.25" customHeight="1" x14ac:dyDescent="0.3">
      <c r="E9" s="19"/>
      <c r="F9" s="19"/>
      <c r="I9" s="1"/>
      <c r="J9" s="1"/>
      <c r="K9" s="1"/>
      <c r="L9" s="1"/>
      <c r="M9" s="1"/>
      <c r="N9" s="1"/>
      <c r="O9" s="1"/>
      <c r="P9" s="1"/>
      <c r="Q9" s="1"/>
    </row>
    <row r="10" spans="1:54" x14ac:dyDescent="0.3">
      <c r="A10" s="1" t="s">
        <v>230</v>
      </c>
      <c r="E10" s="29"/>
      <c r="I10" s="1"/>
      <c r="J10" s="1"/>
      <c r="K10" s="1"/>
      <c r="L10" s="1"/>
      <c r="M10" s="1"/>
      <c r="N10" s="1"/>
      <c r="O10" s="1"/>
      <c r="P10" s="1"/>
      <c r="Q10" s="1"/>
    </row>
    <row r="11" spans="1:54" ht="5.25" customHeight="1" x14ac:dyDescent="0.3">
      <c r="E11" s="29"/>
      <c r="I11" s="1"/>
      <c r="J11" s="1"/>
      <c r="K11" s="1"/>
      <c r="L11" s="1"/>
      <c r="M11" s="1"/>
      <c r="N11" s="1"/>
      <c r="O11" s="1"/>
      <c r="P11" s="1"/>
      <c r="Q11" s="1"/>
    </row>
    <row r="12" spans="1:54" x14ac:dyDescent="0.3">
      <c r="B12" s="1" t="s">
        <v>162</v>
      </c>
      <c r="E12" s="29"/>
    </row>
    <row r="13" spans="1:54" x14ac:dyDescent="0.3">
      <c r="E13" s="29" t="s">
        <v>61</v>
      </c>
      <c r="F13" s="15">
        <v>9235143.3311453182</v>
      </c>
      <c r="G13" s="2" t="s">
        <v>179</v>
      </c>
      <c r="I13" s="32">
        <v>0</v>
      </c>
      <c r="J13" s="32">
        <v>0</v>
      </c>
      <c r="K13" s="32">
        <v>0</v>
      </c>
      <c r="L13" s="32">
        <v>0</v>
      </c>
      <c r="M13" s="32">
        <v>0</v>
      </c>
      <c r="N13" s="32">
        <v>0</v>
      </c>
      <c r="O13" s="32">
        <v>10952.796918681817</v>
      </c>
      <c r="P13" s="32">
        <v>31870.408104796759</v>
      </c>
      <c r="Q13" s="32">
        <v>30912.132012411988</v>
      </c>
      <c r="R13" s="32">
        <v>29982.669265191067</v>
      </c>
      <c r="S13" s="32">
        <v>126018.33186145616</v>
      </c>
      <c r="T13" s="32">
        <v>216251.70729041944</v>
      </c>
      <c r="U13" s="32">
        <v>319183.98157823476</v>
      </c>
      <c r="V13" s="32">
        <v>415730.83370311867</v>
      </c>
      <c r="W13" s="32">
        <v>514762.57346074079</v>
      </c>
      <c r="X13" s="32">
        <v>615784.52046710032</v>
      </c>
      <c r="Y13" s="32">
        <v>718337.25222916517</v>
      </c>
      <c r="Z13" s="32">
        <v>814166.17696174968</v>
      </c>
      <c r="AA13" s="32">
        <v>782092.77985395258</v>
      </c>
      <c r="AB13" s="32">
        <v>743847.24760812102</v>
      </c>
      <c r="AC13" s="32">
        <v>721481.32648702338</v>
      </c>
      <c r="AD13" s="32">
        <v>699787.90153930499</v>
      </c>
      <c r="AE13" s="32">
        <v>611544.10348577041</v>
      </c>
      <c r="AF13" s="32">
        <v>527974.25291083439</v>
      </c>
      <c r="AG13" s="32">
        <v>436232.63343568606</v>
      </c>
      <c r="AH13" s="32">
        <v>349530.63869093056</v>
      </c>
      <c r="AI13" s="32">
        <v>261700.41183659108</v>
      </c>
      <c r="AJ13" s="32">
        <v>173067.02131861678</v>
      </c>
      <c r="AK13" s="32">
        <v>83931.630125420372</v>
      </c>
      <c r="AL13" s="32">
        <v>0</v>
      </c>
      <c r="AM13" s="32">
        <v>0</v>
      </c>
      <c r="AN13" s="32">
        <v>0</v>
      </c>
      <c r="AO13" s="32">
        <v>0</v>
      </c>
      <c r="AP13" s="32">
        <v>0</v>
      </c>
      <c r="AQ13" s="32">
        <v>0</v>
      </c>
      <c r="AR13" s="32">
        <v>0</v>
      </c>
      <c r="AS13" s="32">
        <v>0</v>
      </c>
      <c r="AT13" s="32">
        <v>0</v>
      </c>
      <c r="AU13" s="32">
        <v>0</v>
      </c>
      <c r="AV13" s="32">
        <v>0</v>
      </c>
      <c r="AW13" s="32">
        <v>0</v>
      </c>
      <c r="AX13" s="32">
        <v>0</v>
      </c>
      <c r="AY13" s="32">
        <v>0</v>
      </c>
      <c r="AZ13" s="32">
        <v>0</v>
      </c>
      <c r="BA13" s="32">
        <v>0</v>
      </c>
    </row>
    <row r="14" spans="1:54" x14ac:dyDescent="0.3">
      <c r="E14" s="29" t="s">
        <v>174</v>
      </c>
      <c r="F14" s="15">
        <v>9493954.7225537002</v>
      </c>
      <c r="G14" s="2" t="s">
        <v>179</v>
      </c>
      <c r="I14" s="32">
        <v>0</v>
      </c>
      <c r="J14" s="32">
        <v>0</v>
      </c>
      <c r="K14" s="32">
        <v>0</v>
      </c>
      <c r="L14" s="32">
        <v>0</v>
      </c>
      <c r="M14" s="32">
        <v>0</v>
      </c>
      <c r="N14" s="32">
        <v>0</v>
      </c>
      <c r="O14" s="32">
        <v>11259.744900829261</v>
      </c>
      <c r="P14" s="32">
        <v>32763.564211918318</v>
      </c>
      <c r="Q14" s="32">
        <v>31778.432795265104</v>
      </c>
      <c r="R14" s="32">
        <v>30822.922206852669</v>
      </c>
      <c r="S14" s="32">
        <v>129549.9478464548</v>
      </c>
      <c r="T14" s="32">
        <v>222312.0794201642</v>
      </c>
      <c r="U14" s="32">
        <v>328128.99167991173</v>
      </c>
      <c r="V14" s="32">
        <v>427381.53274091333</v>
      </c>
      <c r="W14" s="32">
        <v>529188.59946870001</v>
      </c>
      <c r="X14" s="32">
        <v>633041.64824901067</v>
      </c>
      <c r="Y14" s="32">
        <v>738468.38144758379</v>
      </c>
      <c r="Z14" s="32">
        <v>836982.87547323655</v>
      </c>
      <c r="AA14" s="32">
        <v>804010.63356844895</v>
      </c>
      <c r="AB14" s="32">
        <v>764693.28477784165</v>
      </c>
      <c r="AC14" s="32">
        <v>741700.56719480292</v>
      </c>
      <c r="AD14" s="32">
        <v>719399.19223550241</v>
      </c>
      <c r="AE14" s="32">
        <v>628682.39518904756</v>
      </c>
      <c r="AF14" s="32">
        <v>542770.53122768726</v>
      </c>
      <c r="AG14" s="32">
        <v>448457.88764007646</v>
      </c>
      <c r="AH14" s="32">
        <v>359326.10235573119</v>
      </c>
      <c r="AI14" s="32">
        <v>269034.46668457089</v>
      </c>
      <c r="AJ14" s="32">
        <v>177917.15899252988</v>
      </c>
      <c r="AK14" s="32">
        <v>86283.782246619739</v>
      </c>
      <c r="AL14" s="32">
        <v>0</v>
      </c>
      <c r="AM14" s="32">
        <v>0</v>
      </c>
      <c r="AN14" s="32">
        <v>0</v>
      </c>
      <c r="AO14" s="32">
        <v>0</v>
      </c>
      <c r="AP14" s="32">
        <v>0</v>
      </c>
      <c r="AQ14" s="32">
        <v>0</v>
      </c>
      <c r="AR14" s="32">
        <v>0</v>
      </c>
      <c r="AS14" s="32">
        <v>0</v>
      </c>
      <c r="AT14" s="32">
        <v>0</v>
      </c>
      <c r="AU14" s="32">
        <v>0</v>
      </c>
      <c r="AV14" s="32">
        <v>0</v>
      </c>
      <c r="AW14" s="32">
        <v>0</v>
      </c>
      <c r="AX14" s="32">
        <v>0</v>
      </c>
      <c r="AY14" s="32">
        <v>0</v>
      </c>
      <c r="AZ14" s="32">
        <v>0</v>
      </c>
      <c r="BA14" s="32">
        <v>0</v>
      </c>
      <c r="BB14" s="32">
        <v>0</v>
      </c>
    </row>
    <row r="15" spans="1:54" x14ac:dyDescent="0.3">
      <c r="E15" s="29" t="s">
        <v>60</v>
      </c>
      <c r="F15" s="15">
        <v>540545.7222472782</v>
      </c>
      <c r="G15" s="2" t="s">
        <v>179</v>
      </c>
      <c r="I15" s="32">
        <v>0</v>
      </c>
      <c r="J15" s="32">
        <v>0</v>
      </c>
      <c r="K15" s="32">
        <v>0</v>
      </c>
      <c r="L15" s="32">
        <v>0</v>
      </c>
      <c r="M15" s="32">
        <v>0</v>
      </c>
      <c r="N15" s="32">
        <v>0</v>
      </c>
      <c r="O15" s="32">
        <v>648.77386142307705</v>
      </c>
      <c r="P15" s="32">
        <v>1887.7997907558017</v>
      </c>
      <c r="Q15" s="32">
        <v>1831.0376243994199</v>
      </c>
      <c r="R15" s="32">
        <v>1775.9821769150533</v>
      </c>
      <c r="S15" s="32">
        <v>7464.5225670532454</v>
      </c>
      <c r="T15" s="32">
        <v>12809.372457078614</v>
      </c>
      <c r="U15" s="32">
        <v>18906.424155431683</v>
      </c>
      <c r="V15" s="32">
        <v>24625.244154227224</v>
      </c>
      <c r="W15" s="32">
        <v>30491.253054329267</v>
      </c>
      <c r="X15" s="32">
        <v>36475.149143555871</v>
      </c>
      <c r="Y15" s="32">
        <v>42549.719162404283</v>
      </c>
      <c r="Z15" s="32">
        <v>48226.013719526651</v>
      </c>
      <c r="AA15" s="32">
        <v>45385.377539619156</v>
      </c>
      <c r="AB15" s="32">
        <v>43165.963213220588</v>
      </c>
      <c r="AC15" s="32">
        <v>41868.05355307526</v>
      </c>
      <c r="AD15" s="32">
        <v>40609.16930463168</v>
      </c>
      <c r="AE15" s="32">
        <v>35488.321505809829</v>
      </c>
      <c r="AF15" s="32">
        <v>30638.706067624476</v>
      </c>
      <c r="AG15" s="32">
        <v>25314.877305577575</v>
      </c>
      <c r="AH15" s="32">
        <v>20283.501404544932</v>
      </c>
      <c r="AI15" s="32">
        <v>15186.653424540598</v>
      </c>
      <c r="AJ15" s="32">
        <v>10043.197309236793</v>
      </c>
      <c r="AK15" s="32">
        <v>4870.6097522971841</v>
      </c>
      <c r="AL15" s="32">
        <v>0</v>
      </c>
      <c r="AM15" s="32">
        <v>0</v>
      </c>
      <c r="AN15" s="32">
        <v>0</v>
      </c>
      <c r="AO15" s="32">
        <v>0</v>
      </c>
      <c r="AP15" s="32">
        <v>0</v>
      </c>
      <c r="AQ15" s="32">
        <v>0</v>
      </c>
      <c r="AR15" s="32">
        <v>0</v>
      </c>
      <c r="AS15" s="32">
        <v>0</v>
      </c>
      <c r="AT15" s="32">
        <v>0</v>
      </c>
      <c r="AU15" s="32">
        <v>0</v>
      </c>
      <c r="AV15" s="32">
        <v>0</v>
      </c>
      <c r="AW15" s="32">
        <v>0</v>
      </c>
      <c r="AX15" s="32">
        <v>0</v>
      </c>
      <c r="AY15" s="32">
        <v>0</v>
      </c>
      <c r="AZ15" s="32">
        <v>0</v>
      </c>
      <c r="BA15" s="32">
        <v>0</v>
      </c>
    </row>
    <row r="16" spans="1:54" x14ac:dyDescent="0.3">
      <c r="E16" s="29" t="s">
        <v>63</v>
      </c>
      <c r="F16" s="15">
        <v>136617779.02212283</v>
      </c>
      <c r="G16" s="2" t="s">
        <v>179</v>
      </c>
      <c r="I16" s="15">
        <v>0</v>
      </c>
      <c r="J16" s="15">
        <v>0</v>
      </c>
      <c r="K16" s="15">
        <v>0</v>
      </c>
      <c r="L16" s="15">
        <v>0</v>
      </c>
      <c r="M16" s="15">
        <v>0</v>
      </c>
      <c r="N16" s="15">
        <v>0</v>
      </c>
      <c r="O16" s="15">
        <v>193735.45711059339</v>
      </c>
      <c r="P16" s="15">
        <v>483730.72828875028</v>
      </c>
      <c r="Q16" s="15">
        <v>471332.56703126209</v>
      </c>
      <c r="R16" s="15">
        <v>459253.05883406324</v>
      </c>
      <c r="S16" s="15">
        <v>1814084.0957733032</v>
      </c>
      <c r="T16" s="15">
        <v>3100291.0816366207</v>
      </c>
      <c r="U16" s="15">
        <v>4580182.0715894001</v>
      </c>
      <c r="V16" s="15">
        <v>5983461.7812437685</v>
      </c>
      <c r="W16" s="15">
        <v>7436440.5004005404</v>
      </c>
      <c r="X16" s="15">
        <v>8932607.518646935</v>
      </c>
      <c r="Y16" s="15">
        <v>10465827.366429467</v>
      </c>
      <c r="Z16" s="15">
        <v>11916037.000012601</v>
      </c>
      <c r="AA16" s="15">
        <v>11503984.738443166</v>
      </c>
      <c r="AB16" s="15">
        <v>10996542.987970591</v>
      </c>
      <c r="AC16" s="15">
        <v>10719091.400904987</v>
      </c>
      <c r="AD16" s="15">
        <v>10448640.808013937</v>
      </c>
      <c r="AE16" s="15">
        <v>9179171.5071736071</v>
      </c>
      <c r="AF16" s="15">
        <v>7967085.4754466657</v>
      </c>
      <c r="AG16" s="15">
        <v>6619145.5095055075</v>
      </c>
      <c r="AH16" s="15">
        <v>5334124.7269851211</v>
      </c>
      <c r="AI16" s="15">
        <v>4018891.4621064123</v>
      </c>
      <c r="AJ16" s="15">
        <v>2678076.935138097</v>
      </c>
      <c r="AK16" s="15">
        <v>1316040.2434374103</v>
      </c>
      <c r="AL16" s="15">
        <v>0</v>
      </c>
      <c r="AM16" s="15">
        <v>0</v>
      </c>
      <c r="AN16" s="15">
        <v>0</v>
      </c>
      <c r="AO16" s="15">
        <v>0</v>
      </c>
      <c r="AP16" s="15">
        <v>0</v>
      </c>
      <c r="AQ16" s="15">
        <v>0</v>
      </c>
      <c r="AR16" s="15">
        <v>0</v>
      </c>
      <c r="AS16" s="15">
        <v>0</v>
      </c>
      <c r="AT16" s="15">
        <v>0</v>
      </c>
      <c r="AU16" s="15">
        <v>0</v>
      </c>
      <c r="AV16" s="15">
        <v>0</v>
      </c>
      <c r="AW16" s="15">
        <v>0</v>
      </c>
      <c r="AX16" s="15">
        <v>0</v>
      </c>
      <c r="AY16" s="15">
        <v>0</v>
      </c>
      <c r="AZ16" s="15">
        <v>0</v>
      </c>
      <c r="BA16" s="15">
        <v>0</v>
      </c>
    </row>
    <row r="17" spans="1:54" x14ac:dyDescent="0.3">
      <c r="E17" s="29" t="s">
        <v>62</v>
      </c>
      <c r="F17" s="15">
        <v>3741888.5741062108</v>
      </c>
      <c r="G17" s="2" t="s">
        <v>179</v>
      </c>
      <c r="I17" s="15">
        <v>0</v>
      </c>
      <c r="J17" s="15">
        <v>0</v>
      </c>
      <c r="K17" s="15">
        <v>0</v>
      </c>
      <c r="L17" s="15">
        <v>0</v>
      </c>
      <c r="M17" s="15">
        <v>0</v>
      </c>
      <c r="N17" s="15">
        <v>0</v>
      </c>
      <c r="O17" s="15">
        <v>12079.082071589191</v>
      </c>
      <c r="P17" s="15">
        <v>35147.668491530145</v>
      </c>
      <c r="Q17" s="15">
        <v>34090.852077138843</v>
      </c>
      <c r="R17" s="15">
        <v>33065.811907991119</v>
      </c>
      <c r="S17" s="15">
        <v>138976.9010035191</v>
      </c>
      <c r="T17" s="15">
        <v>238489.04895030512</v>
      </c>
      <c r="U17" s="15">
        <v>352005.93401343899</v>
      </c>
      <c r="V17" s="15">
        <v>341421.85646308342</v>
      </c>
      <c r="W17" s="15">
        <v>331156.0198478016</v>
      </c>
      <c r="X17" s="15">
        <v>321198.85533249431</v>
      </c>
      <c r="Y17" s="15">
        <v>311541.08179679373</v>
      </c>
      <c r="Z17" s="15">
        <v>302173.69718408707</v>
      </c>
      <c r="AA17" s="15">
        <v>284714.02810749516</v>
      </c>
      <c r="AB17" s="15">
        <v>259908.96615050614</v>
      </c>
      <c r="AC17" s="15">
        <v>252094.05058245023</v>
      </c>
      <c r="AD17" s="15">
        <v>244514.11307706137</v>
      </c>
      <c r="AE17" s="15">
        <v>163048.93573276399</v>
      </c>
      <c r="AF17" s="15">
        <v>86261.67131616117</v>
      </c>
      <c r="AG17" s="15">
        <v>0</v>
      </c>
      <c r="AH17" s="15">
        <v>0</v>
      </c>
      <c r="AI17" s="15">
        <v>0</v>
      </c>
      <c r="AJ17" s="15">
        <v>0</v>
      </c>
      <c r="AK17" s="15">
        <v>0</v>
      </c>
      <c r="AL17" s="15">
        <v>0</v>
      </c>
      <c r="AM17" s="15">
        <v>0</v>
      </c>
      <c r="AN17" s="15">
        <v>0</v>
      </c>
      <c r="AO17" s="15">
        <v>0</v>
      </c>
      <c r="AP17" s="15">
        <v>0</v>
      </c>
      <c r="AQ17" s="15">
        <v>0</v>
      </c>
      <c r="AR17" s="15">
        <v>0</v>
      </c>
      <c r="AS17" s="15">
        <v>0</v>
      </c>
      <c r="AT17" s="15">
        <v>0</v>
      </c>
      <c r="AU17" s="15">
        <v>0</v>
      </c>
      <c r="AV17" s="15">
        <v>0</v>
      </c>
      <c r="AW17" s="15">
        <v>0</v>
      </c>
      <c r="AX17" s="15">
        <v>0</v>
      </c>
      <c r="AY17" s="15">
        <v>0</v>
      </c>
      <c r="AZ17" s="15">
        <v>0</v>
      </c>
      <c r="BA17" s="15">
        <v>0</v>
      </c>
    </row>
    <row r="18" spans="1:54" x14ac:dyDescent="0.3">
      <c r="E18" s="29" t="s">
        <v>67</v>
      </c>
      <c r="F18" s="15">
        <v>2181374.0130883125</v>
      </c>
      <c r="G18" s="2" t="s">
        <v>179</v>
      </c>
      <c r="I18" s="15">
        <v>0</v>
      </c>
      <c r="J18" s="15">
        <v>0</v>
      </c>
      <c r="K18" s="15">
        <v>0</v>
      </c>
      <c r="L18" s="15">
        <v>0</v>
      </c>
      <c r="M18" s="15">
        <v>0</v>
      </c>
      <c r="N18" s="15">
        <v>0</v>
      </c>
      <c r="O18" s="15">
        <v>26392.419167858756</v>
      </c>
      <c r="P18" s="15">
        <v>51197.709345991774</v>
      </c>
      <c r="Q18" s="15">
        <v>0</v>
      </c>
      <c r="R18" s="15">
        <v>0</v>
      </c>
      <c r="S18" s="15">
        <v>233584.77867237417</v>
      </c>
      <c r="T18" s="15">
        <v>226561.37601588186</v>
      </c>
      <c r="U18" s="15">
        <v>263698.98275369377</v>
      </c>
      <c r="V18" s="15">
        <v>255770.10936342771</v>
      </c>
      <c r="W18" s="15">
        <v>268752.94388332992</v>
      </c>
      <c r="X18" s="15">
        <v>280723.80917455925</v>
      </c>
      <c r="Y18" s="15">
        <v>291731.82330735697</v>
      </c>
      <c r="Z18" s="15">
        <v>282960.06140383804</v>
      </c>
      <c r="AA18" s="15">
        <v>0</v>
      </c>
      <c r="AB18" s="15">
        <v>0</v>
      </c>
      <c r="AC18" s="15">
        <v>0</v>
      </c>
      <c r="AD18" s="15">
        <v>0</v>
      </c>
      <c r="AE18" s="15">
        <v>0</v>
      </c>
      <c r="AF18" s="15">
        <v>0</v>
      </c>
      <c r="AG18" s="15">
        <v>0</v>
      </c>
      <c r="AH18" s="15">
        <v>0</v>
      </c>
      <c r="AI18" s="15">
        <v>0</v>
      </c>
      <c r="AJ18" s="15">
        <v>0</v>
      </c>
      <c r="AK18" s="15">
        <v>0</v>
      </c>
      <c r="AL18" s="15">
        <v>0</v>
      </c>
      <c r="AM18" s="15">
        <v>0</v>
      </c>
      <c r="AN18" s="15">
        <v>0</v>
      </c>
      <c r="AO18" s="15">
        <v>0</v>
      </c>
      <c r="AP18" s="15">
        <v>0</v>
      </c>
      <c r="AQ18" s="15">
        <v>0</v>
      </c>
      <c r="AR18" s="15">
        <v>0</v>
      </c>
      <c r="AS18" s="15">
        <v>0</v>
      </c>
      <c r="AT18" s="15">
        <v>0</v>
      </c>
      <c r="AU18" s="15">
        <v>0</v>
      </c>
      <c r="AV18" s="15">
        <v>0</v>
      </c>
      <c r="AW18" s="15">
        <v>0</v>
      </c>
      <c r="AX18" s="15">
        <v>0</v>
      </c>
      <c r="AY18" s="15">
        <v>0</v>
      </c>
      <c r="AZ18" s="15">
        <v>0</v>
      </c>
      <c r="BA18" s="15">
        <v>0</v>
      </c>
      <c r="BB18" s="15">
        <v>0</v>
      </c>
    </row>
    <row r="19" spans="1:54" x14ac:dyDescent="0.3">
      <c r="E19" s="29" t="s">
        <v>176</v>
      </c>
      <c r="F19" s="15">
        <v>2603523.4199357638</v>
      </c>
      <c r="G19" s="2" t="s">
        <v>179</v>
      </c>
      <c r="I19" s="15">
        <v>0</v>
      </c>
      <c r="J19" s="15">
        <v>0</v>
      </c>
      <c r="K19" s="15">
        <v>0</v>
      </c>
      <c r="L19" s="15">
        <v>0</v>
      </c>
      <c r="M19" s="15">
        <v>0</v>
      </c>
      <c r="N19" s="15">
        <v>0</v>
      </c>
      <c r="O19" s="15">
        <v>31500</v>
      </c>
      <c r="P19" s="15">
        <v>61105.722599418048</v>
      </c>
      <c r="Q19" s="15">
        <v>0</v>
      </c>
      <c r="R19" s="15">
        <v>0</v>
      </c>
      <c r="S19" s="15">
        <v>278789.1659867398</v>
      </c>
      <c r="T19" s="15">
        <v>270406.56254775927</v>
      </c>
      <c r="U19" s="15">
        <v>314731.20762105833</v>
      </c>
      <c r="V19" s="15">
        <v>305267.90263924206</v>
      </c>
      <c r="W19" s="15">
        <v>320763.23426367156</v>
      </c>
      <c r="X19" s="15">
        <v>335050.75577791536</v>
      </c>
      <c r="Y19" s="15">
        <v>348189.09080426308</v>
      </c>
      <c r="Z19" s="15">
        <v>337719.77769569651</v>
      </c>
      <c r="AA19" s="15">
        <v>0</v>
      </c>
      <c r="AB19" s="15">
        <v>0</v>
      </c>
      <c r="AC19" s="15">
        <v>0</v>
      </c>
      <c r="AD19" s="15">
        <v>0</v>
      </c>
      <c r="AE19" s="15">
        <v>0</v>
      </c>
      <c r="AF19" s="15">
        <v>0</v>
      </c>
      <c r="AG19" s="15">
        <v>0</v>
      </c>
      <c r="AH19" s="15">
        <v>0</v>
      </c>
      <c r="AI19" s="15">
        <v>0</v>
      </c>
      <c r="AJ19" s="15">
        <v>0</v>
      </c>
      <c r="AK19" s="15">
        <v>0</v>
      </c>
      <c r="AL19" s="15">
        <v>0</v>
      </c>
      <c r="AM19" s="15">
        <v>0</v>
      </c>
      <c r="AN19" s="15">
        <v>0</v>
      </c>
      <c r="AO19" s="15">
        <v>0</v>
      </c>
      <c r="AP19" s="15">
        <v>0</v>
      </c>
      <c r="AQ19" s="15">
        <v>0</v>
      </c>
      <c r="AR19" s="15">
        <v>0</v>
      </c>
      <c r="AS19" s="15">
        <v>0</v>
      </c>
      <c r="AT19" s="15">
        <v>0</v>
      </c>
      <c r="AU19" s="15">
        <v>0</v>
      </c>
      <c r="AV19" s="15">
        <v>0</v>
      </c>
      <c r="AW19" s="15">
        <v>0</v>
      </c>
      <c r="AX19" s="15">
        <v>0</v>
      </c>
      <c r="AY19" s="15">
        <v>0</v>
      </c>
      <c r="AZ19" s="15">
        <v>0</v>
      </c>
      <c r="BA19" s="15">
        <v>0</v>
      </c>
      <c r="BB19" s="15">
        <v>0</v>
      </c>
    </row>
    <row r="20" spans="1:54" x14ac:dyDescent="0.3">
      <c r="E20" s="29" t="s">
        <v>177</v>
      </c>
      <c r="F20" s="15">
        <v>404724.82342740759</v>
      </c>
      <c r="G20" s="2" t="s">
        <v>179</v>
      </c>
      <c r="I20" s="15">
        <v>0</v>
      </c>
      <c r="J20" s="15">
        <v>0</v>
      </c>
      <c r="K20" s="15">
        <v>0</v>
      </c>
      <c r="L20" s="15">
        <v>0</v>
      </c>
      <c r="M20" s="15">
        <v>0</v>
      </c>
      <c r="N20" s="15">
        <v>0</v>
      </c>
      <c r="O20" s="15">
        <v>480</v>
      </c>
      <c r="P20" s="15">
        <v>1396.7022308438411</v>
      </c>
      <c r="Q20" s="15">
        <v>1354.7063344751127</v>
      </c>
      <c r="R20" s="15">
        <v>1313.9731663192169</v>
      </c>
      <c r="S20" s="15">
        <v>5522.6806214516073</v>
      </c>
      <c r="T20" s="15">
        <v>9477.1061921500386</v>
      </c>
      <c r="U20" s="15">
        <v>13988.053672047035</v>
      </c>
      <c r="V20" s="15">
        <v>18219.163713072216</v>
      </c>
      <c r="W20" s="15">
        <v>22559.172519642838</v>
      </c>
      <c r="X20" s="15">
        <v>26986.401009595374</v>
      </c>
      <c r="Y20" s="15">
        <v>31480.715257477503</v>
      </c>
      <c r="Z20" s="15">
        <v>35680.36254511994</v>
      </c>
      <c r="AA20" s="15">
        <v>34274.764438440587</v>
      </c>
      <c r="AB20" s="15">
        <v>32598.676073587703</v>
      </c>
      <c r="AC20" s="15">
        <v>31618.502496205343</v>
      </c>
      <c r="AD20" s="15">
        <v>30667.800675271916</v>
      </c>
      <c r="AE20" s="15">
        <v>26800.567184121388</v>
      </c>
      <c r="AF20" s="15">
        <v>23138.166742134832</v>
      </c>
      <c r="AG20" s="15">
        <v>19117.643247084859</v>
      </c>
      <c r="AH20" s="15">
        <v>15317.97839558944</v>
      </c>
      <c r="AI20" s="15">
        <v>11468.869423416807</v>
      </c>
      <c r="AJ20" s="15">
        <v>7584.562267491935</v>
      </c>
      <c r="AK20" s="15">
        <v>3678.2552218680585</v>
      </c>
      <c r="AL20" s="15">
        <v>0</v>
      </c>
      <c r="AM20" s="15">
        <v>0</v>
      </c>
      <c r="AN20" s="15">
        <v>0</v>
      </c>
      <c r="AO20" s="15">
        <v>0</v>
      </c>
      <c r="AP20" s="15">
        <v>0</v>
      </c>
      <c r="AQ20" s="15">
        <v>0</v>
      </c>
      <c r="AR20" s="15">
        <v>0</v>
      </c>
      <c r="AS20" s="15">
        <v>0</v>
      </c>
      <c r="AT20" s="15">
        <v>0</v>
      </c>
      <c r="AU20" s="15">
        <v>0</v>
      </c>
      <c r="AV20" s="15">
        <v>0</v>
      </c>
      <c r="AW20" s="15">
        <v>0</v>
      </c>
      <c r="AX20" s="15">
        <v>0</v>
      </c>
      <c r="AY20" s="15">
        <v>0</v>
      </c>
      <c r="AZ20" s="15">
        <v>0</v>
      </c>
      <c r="BA20" s="15">
        <v>0</v>
      </c>
      <c r="BB20" s="15">
        <v>0</v>
      </c>
    </row>
    <row r="21" spans="1:54" x14ac:dyDescent="0.3">
      <c r="E21" s="30" t="s">
        <v>221</v>
      </c>
      <c r="F21" s="33">
        <v>164818933.62862682</v>
      </c>
      <c r="G21" s="1" t="s">
        <v>179</v>
      </c>
      <c r="H21" s="1"/>
    </row>
    <row r="22" spans="1:54" x14ac:dyDescent="0.3">
      <c r="A22" s="4"/>
      <c r="B22" s="4"/>
      <c r="D22" s="4"/>
      <c r="E22" s="29"/>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row>
    <row r="23" spans="1:54" x14ac:dyDescent="0.3">
      <c r="A23" s="25"/>
      <c r="B23" s="25"/>
      <c r="D23" s="25"/>
      <c r="E23" s="29" t="s">
        <v>61</v>
      </c>
      <c r="F23" s="171">
        <v>5.6032053647150269E-2</v>
      </c>
      <c r="G23" s="25" t="s">
        <v>170</v>
      </c>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row>
    <row r="24" spans="1:54" x14ac:dyDescent="0.3">
      <c r="A24" s="25"/>
      <c r="B24" s="25"/>
      <c r="D24" s="25"/>
      <c r="E24" s="29" t="s">
        <v>174</v>
      </c>
      <c r="F24" s="171">
        <v>5.7602330712475426E-2</v>
      </c>
      <c r="G24" s="25" t="s">
        <v>170</v>
      </c>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row>
    <row r="25" spans="1:54" x14ac:dyDescent="0.3">
      <c r="A25" s="25"/>
      <c r="B25" s="25"/>
      <c r="D25" s="25"/>
      <c r="E25" s="29" t="s">
        <v>60</v>
      </c>
      <c r="F25" s="171">
        <v>3.2796336582618969E-3</v>
      </c>
      <c r="G25" s="25" t="s">
        <v>170</v>
      </c>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row>
    <row r="26" spans="1:54" x14ac:dyDescent="0.3">
      <c r="A26" s="4"/>
      <c r="B26" s="4"/>
      <c r="D26" s="4"/>
      <c r="E26" s="29" t="s">
        <v>63</v>
      </c>
      <c r="F26" s="171">
        <v>0.82889614690720315</v>
      </c>
      <c r="G26" s="25" t="s">
        <v>170</v>
      </c>
      <c r="H26" s="25"/>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row>
    <row r="27" spans="1:54" x14ac:dyDescent="0.3">
      <c r="A27" s="4"/>
      <c r="B27" s="4"/>
      <c r="D27" s="4"/>
      <c r="E27" s="29" t="s">
        <v>62</v>
      </c>
      <c r="F27" s="171">
        <v>2.2703026234458631E-2</v>
      </c>
      <c r="G27" s="25" t="s">
        <v>170</v>
      </c>
      <c r="H27" s="25"/>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row>
    <row r="28" spans="1:54" x14ac:dyDescent="0.3">
      <c r="A28" s="4"/>
      <c r="B28" s="4"/>
      <c r="D28" s="4"/>
      <c r="E28" s="29" t="s">
        <v>67</v>
      </c>
      <c r="F28" s="171">
        <v>1.3234972251449133E-2</v>
      </c>
      <c r="G28" s="25" t="s">
        <v>170</v>
      </c>
      <c r="H28" s="25"/>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row>
    <row r="29" spans="1:54" x14ac:dyDescent="0.3">
      <c r="E29" s="29" t="s">
        <v>176</v>
      </c>
      <c r="F29" s="171">
        <v>1.5796264194998813E-2</v>
      </c>
      <c r="G29" s="25" t="s">
        <v>170</v>
      </c>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row>
    <row r="30" spans="1:54" x14ac:dyDescent="0.3">
      <c r="E30" s="29" t="s">
        <v>177</v>
      </c>
      <c r="F30" s="171">
        <v>2.4555723940026292E-3</v>
      </c>
      <c r="G30" s="25" t="s">
        <v>170</v>
      </c>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row>
    <row r="31" spans="1:54" x14ac:dyDescent="0.3">
      <c r="A31" s="1" t="s">
        <v>231</v>
      </c>
      <c r="E31" s="29"/>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row>
    <row r="32" spans="1:54" x14ac:dyDescent="0.3">
      <c r="E32" s="34" t="s">
        <v>222</v>
      </c>
      <c r="F32" s="15">
        <v>164414208.80519938</v>
      </c>
      <c r="G32" s="2" t="s">
        <v>228</v>
      </c>
      <c r="I32" s="15">
        <v>0</v>
      </c>
      <c r="J32" s="15">
        <v>0</v>
      </c>
      <c r="K32" s="15">
        <v>0</v>
      </c>
      <c r="L32" s="15">
        <v>0</v>
      </c>
      <c r="M32" s="15">
        <v>0</v>
      </c>
      <c r="N32" s="15">
        <v>0</v>
      </c>
      <c r="O32" s="15">
        <v>286568.27403097547</v>
      </c>
      <c r="P32" s="15">
        <v>697703.60083316104</v>
      </c>
      <c r="Q32" s="15">
        <v>569945.02154047741</v>
      </c>
      <c r="R32" s="15">
        <v>554900.44439101312</v>
      </c>
      <c r="S32" s="15">
        <v>2728467.7437109007</v>
      </c>
      <c r="T32" s="15">
        <v>4287121.2283182293</v>
      </c>
      <c r="U32" s="15">
        <v>6176837.5933911698</v>
      </c>
      <c r="V32" s="15">
        <v>7753659.2603077805</v>
      </c>
      <c r="W32" s="15">
        <v>9431555.1243791133</v>
      </c>
      <c r="X32" s="15">
        <v>11154882.256791571</v>
      </c>
      <c r="Y32" s="15">
        <v>12916644.715177035</v>
      </c>
      <c r="Z32" s="15">
        <v>14538265.602450738</v>
      </c>
      <c r="AA32" s="15">
        <v>13420187.557512682</v>
      </c>
      <c r="AB32" s="15">
        <v>12808158.44972028</v>
      </c>
      <c r="AC32" s="15">
        <v>12476235.398722339</v>
      </c>
      <c r="AD32" s="15">
        <v>12152951.184170436</v>
      </c>
      <c r="AE32" s="15">
        <v>10617935.263086999</v>
      </c>
      <c r="AF32" s="15">
        <v>9154730.636968974</v>
      </c>
      <c r="AG32" s="15">
        <v>7529150.9078868479</v>
      </c>
      <c r="AH32" s="15">
        <v>6063264.9694363279</v>
      </c>
      <c r="AI32" s="15">
        <v>4564812.9940521149</v>
      </c>
      <c r="AJ32" s="15">
        <v>3039104.3127584807</v>
      </c>
      <c r="AK32" s="15">
        <v>1491126.2655617476</v>
      </c>
      <c r="AL32" s="15">
        <v>0</v>
      </c>
      <c r="AM32" s="15">
        <v>0</v>
      </c>
      <c r="AN32" s="15">
        <v>0</v>
      </c>
      <c r="AO32" s="15">
        <v>0</v>
      </c>
      <c r="AP32" s="15">
        <v>0</v>
      </c>
      <c r="AQ32" s="15">
        <v>0</v>
      </c>
      <c r="AR32" s="15">
        <v>0</v>
      </c>
      <c r="AS32" s="15">
        <v>0</v>
      </c>
      <c r="AT32" s="15">
        <v>0</v>
      </c>
      <c r="AU32" s="15">
        <v>0</v>
      </c>
      <c r="AV32" s="15">
        <v>0</v>
      </c>
      <c r="AW32" s="15">
        <v>0</v>
      </c>
      <c r="AX32" s="15">
        <v>0</v>
      </c>
      <c r="AY32" s="15">
        <v>0</v>
      </c>
      <c r="AZ32" s="15">
        <v>0</v>
      </c>
      <c r="BA32" s="15">
        <v>0</v>
      </c>
    </row>
    <row r="33" spans="1:54" x14ac:dyDescent="0.3">
      <c r="E33" s="34" t="s">
        <v>223</v>
      </c>
      <c r="F33" s="15"/>
      <c r="I33" s="15">
        <v>0</v>
      </c>
      <c r="J33" s="15">
        <v>0</v>
      </c>
      <c r="K33" s="15">
        <v>0</v>
      </c>
      <c r="L33" s="15">
        <v>0</v>
      </c>
      <c r="M33" s="15">
        <v>0</v>
      </c>
      <c r="N33" s="15">
        <v>0</v>
      </c>
      <c r="O33" s="15">
        <v>286568.27403097553</v>
      </c>
      <c r="P33" s="15">
        <v>984271.87486413657</v>
      </c>
      <c r="Q33" s="15">
        <v>1554216.896404614</v>
      </c>
      <c r="R33" s="15">
        <v>2109117.3407956269</v>
      </c>
      <c r="S33" s="15">
        <v>4837585.0845065275</v>
      </c>
      <c r="T33" s="15">
        <v>9124706.3128247559</v>
      </c>
      <c r="U33" s="15">
        <v>15301543.906215925</v>
      </c>
      <c r="V33" s="15">
        <v>23055203.166523706</v>
      </c>
      <c r="W33" s="15">
        <v>32486758.290902816</v>
      </c>
      <c r="X33" s="15">
        <v>43641640.547694385</v>
      </c>
      <c r="Y33" s="15">
        <v>56558285.262871422</v>
      </c>
      <c r="Z33" s="15">
        <v>71096550.865322158</v>
      </c>
      <c r="AA33" s="15">
        <v>84516738.422834843</v>
      </c>
      <c r="AB33" s="15">
        <v>97324896.872555122</v>
      </c>
      <c r="AC33" s="15">
        <v>109801132.27127746</v>
      </c>
      <c r="AD33" s="15">
        <v>121954083.4554479</v>
      </c>
      <c r="AE33" s="15">
        <v>132572018.7185349</v>
      </c>
      <c r="AF33" s="15">
        <v>141726749.35550389</v>
      </c>
      <c r="AG33" s="15">
        <v>149255900.26339072</v>
      </c>
      <c r="AH33" s="15">
        <v>155319165.23282704</v>
      </c>
      <c r="AI33" s="15">
        <v>159883978.22687915</v>
      </c>
      <c r="AJ33" s="15">
        <v>162923082.53963763</v>
      </c>
      <c r="AK33" s="15">
        <v>164414208.80519938</v>
      </c>
      <c r="AL33" s="15">
        <v>164414208.80519938</v>
      </c>
      <c r="AM33" s="15">
        <v>164414208.80519938</v>
      </c>
      <c r="AN33" s="15">
        <v>164414208.80519938</v>
      </c>
      <c r="AO33" s="15">
        <v>164414208.80519938</v>
      </c>
      <c r="AP33" s="15">
        <v>164414208.80519938</v>
      </c>
      <c r="AQ33" s="15">
        <v>164414208.80519938</v>
      </c>
      <c r="AR33" s="15">
        <v>164414208.80519938</v>
      </c>
      <c r="AS33" s="15">
        <v>164414208.80519938</v>
      </c>
      <c r="AT33" s="15">
        <v>164414208.80519938</v>
      </c>
      <c r="AU33" s="15">
        <v>164414208.80519938</v>
      </c>
      <c r="AV33" s="15">
        <v>164414208.80519938</v>
      </c>
      <c r="AW33" s="15">
        <v>164414208.80519938</v>
      </c>
      <c r="AX33" s="15">
        <v>164414208.80519938</v>
      </c>
      <c r="AY33" s="15">
        <v>164414208.80519938</v>
      </c>
      <c r="AZ33" s="15">
        <v>164414208.80519938</v>
      </c>
      <c r="BA33" s="15">
        <v>164414208.80519938</v>
      </c>
    </row>
    <row r="34" spans="1:54" x14ac:dyDescent="0.3">
      <c r="E34" s="34"/>
      <c r="F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row>
    <row r="35" spans="1:54" x14ac:dyDescent="0.3">
      <c r="E35" s="29" t="s">
        <v>224</v>
      </c>
      <c r="F35" s="15">
        <v>50716688.057874545</v>
      </c>
      <c r="G35" s="2" t="s">
        <v>228</v>
      </c>
      <c r="I35" s="15">
        <v>0</v>
      </c>
      <c r="J35" s="15">
        <v>0</v>
      </c>
      <c r="K35" s="15">
        <v>0</v>
      </c>
      <c r="L35" s="15">
        <v>0</v>
      </c>
      <c r="M35" s="15">
        <v>0</v>
      </c>
      <c r="N35" s="15">
        <v>277068.5969624999</v>
      </c>
      <c r="O35" s="15">
        <v>3150734.9203139995</v>
      </c>
      <c r="P35" s="15">
        <v>205683.01527643064</v>
      </c>
      <c r="Q35" s="15">
        <v>198138.05976889087</v>
      </c>
      <c r="R35" s="15">
        <v>2114634.3087845617</v>
      </c>
      <c r="S35" s="15">
        <v>2335030.4642990134</v>
      </c>
      <c r="T35" s="15">
        <v>2824293.8430874939</v>
      </c>
      <c r="U35" s="15">
        <v>3088644.5475570662</v>
      </c>
      <c r="V35" s="15">
        <v>3447269.2718425565</v>
      </c>
      <c r="W35" s="15">
        <v>3805586.8454621369</v>
      </c>
      <c r="X35" s="15">
        <v>4161416.1994328746</v>
      </c>
      <c r="Y35" s="15">
        <v>4382749.9204002051</v>
      </c>
      <c r="Z35" s="15">
        <v>2682821.5663537388</v>
      </c>
      <c r="AA35" s="15">
        <v>2560125.1342986957</v>
      </c>
      <c r="AB35" s="15">
        <v>2441086.0848020357</v>
      </c>
      <c r="AC35" s="15">
        <v>2372105.545288051</v>
      </c>
      <c r="AD35" s="15">
        <v>2305177.6942972932</v>
      </c>
      <c r="AE35" s="15">
        <v>2027071.7072940776</v>
      </c>
      <c r="AF35" s="15">
        <v>1763187.4553140514</v>
      </c>
      <c r="AG35" s="15">
        <v>1472700.8006529012</v>
      </c>
      <c r="AH35" s="15">
        <v>1197549.6247542202</v>
      </c>
      <c r="AI35" s="15">
        <v>918097.93770084018</v>
      </c>
      <c r="AJ35" s="15">
        <v>635335.4083995698</v>
      </c>
      <c r="AK35" s="15">
        <v>350179.10553133866</v>
      </c>
      <c r="AL35" s="15">
        <v>0</v>
      </c>
      <c r="AM35" s="15">
        <v>0</v>
      </c>
      <c r="AN35" s="15">
        <v>0</v>
      </c>
      <c r="AO35" s="15">
        <v>0</v>
      </c>
      <c r="AP35" s="15">
        <v>0</v>
      </c>
      <c r="AQ35" s="15">
        <v>0</v>
      </c>
      <c r="AR35" s="15">
        <v>0</v>
      </c>
      <c r="AS35" s="15">
        <v>0</v>
      </c>
      <c r="AT35" s="15">
        <v>0</v>
      </c>
      <c r="AU35" s="15">
        <v>0</v>
      </c>
      <c r="AV35" s="15">
        <v>0</v>
      </c>
      <c r="AW35" s="15">
        <v>0</v>
      </c>
      <c r="AX35" s="15">
        <v>0</v>
      </c>
      <c r="AY35" s="15">
        <v>0</v>
      </c>
      <c r="AZ35" s="15">
        <v>0</v>
      </c>
      <c r="BA35" s="15">
        <v>0</v>
      </c>
    </row>
    <row r="36" spans="1:54" x14ac:dyDescent="0.3">
      <c r="E36" s="29" t="s">
        <v>225</v>
      </c>
      <c r="F36" s="15"/>
      <c r="I36" s="15">
        <v>0</v>
      </c>
      <c r="J36" s="15">
        <v>0</v>
      </c>
      <c r="K36" s="15">
        <v>0</v>
      </c>
      <c r="L36" s="15">
        <v>0</v>
      </c>
      <c r="M36" s="15">
        <v>0</v>
      </c>
      <c r="N36" s="15">
        <v>277068.5969624999</v>
      </c>
      <c r="O36" s="15">
        <v>3427803.5172764994</v>
      </c>
      <c r="P36" s="15">
        <v>3633486.5325529301</v>
      </c>
      <c r="Q36" s="15">
        <v>3831624.592321821</v>
      </c>
      <c r="R36" s="15">
        <v>5946258.9011063827</v>
      </c>
      <c r="S36" s="15">
        <v>8281289.3654053956</v>
      </c>
      <c r="T36" s="15">
        <v>11105583.20849289</v>
      </c>
      <c r="U36" s="15">
        <v>14194227.756049957</v>
      </c>
      <c r="V36" s="15">
        <v>17641497.027892515</v>
      </c>
      <c r="W36" s="15">
        <v>21447083.873354651</v>
      </c>
      <c r="X36" s="15">
        <v>25608500.072787527</v>
      </c>
      <c r="Y36" s="15">
        <v>29991249.993187733</v>
      </c>
      <c r="Z36" s="15">
        <v>32674071.559541471</v>
      </c>
      <c r="AA36" s="15">
        <v>35234196.693840168</v>
      </c>
      <c r="AB36" s="15">
        <v>37675282.778642207</v>
      </c>
      <c r="AC36" s="15">
        <v>40047388.323930256</v>
      </c>
      <c r="AD36" s="15">
        <v>42352566.018227547</v>
      </c>
      <c r="AE36" s="15">
        <v>44379637.725521624</v>
      </c>
      <c r="AF36" s="15">
        <v>46142825.180835679</v>
      </c>
      <c r="AG36" s="15">
        <v>47615525.981488578</v>
      </c>
      <c r="AH36" s="15">
        <v>48813075.606242798</v>
      </c>
      <c r="AI36" s="15">
        <v>49731173.543943636</v>
      </c>
      <c r="AJ36" s="15">
        <v>50366508.952343203</v>
      </c>
      <c r="AK36" s="15">
        <v>50716688.057874545</v>
      </c>
      <c r="AL36" s="15">
        <v>50716688.057874545</v>
      </c>
      <c r="AM36" s="15">
        <v>50716688.057874545</v>
      </c>
      <c r="AN36" s="15">
        <v>50716688.057874545</v>
      </c>
      <c r="AO36" s="15">
        <v>50716688.057874545</v>
      </c>
      <c r="AP36" s="15">
        <v>50716688.057874545</v>
      </c>
      <c r="AQ36" s="15">
        <v>50716688.057874545</v>
      </c>
      <c r="AR36" s="15">
        <v>50716688.057874545</v>
      </c>
      <c r="AS36" s="15">
        <v>50716688.057874545</v>
      </c>
      <c r="AT36" s="15">
        <v>50716688.057874545</v>
      </c>
      <c r="AU36" s="15">
        <v>50716688.057874545</v>
      </c>
      <c r="AV36" s="15">
        <v>50716688.057874545</v>
      </c>
      <c r="AW36" s="15">
        <v>50716688.057874545</v>
      </c>
      <c r="AX36" s="15">
        <v>50716688.057874545</v>
      </c>
      <c r="AY36" s="15">
        <v>50716688.057874545</v>
      </c>
      <c r="AZ36" s="15">
        <v>50716688.057874545</v>
      </c>
      <c r="BA36" s="15">
        <v>50716688.057874545</v>
      </c>
    </row>
    <row r="37" spans="1:54" x14ac:dyDescent="0.3">
      <c r="E37" s="29"/>
      <c r="F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row>
    <row r="38" spans="1:54" x14ac:dyDescent="0.3">
      <c r="B38" s="140"/>
      <c r="C38" s="140"/>
      <c r="D38" s="140"/>
      <c r="E38" s="141" t="s">
        <v>65</v>
      </c>
      <c r="F38" s="142">
        <v>22319871.604612954</v>
      </c>
      <c r="G38" s="140" t="s">
        <v>228</v>
      </c>
      <c r="H38" s="140"/>
      <c r="I38" s="142">
        <v>0</v>
      </c>
      <c r="J38" s="142">
        <v>0</v>
      </c>
      <c r="K38" s="142">
        <v>0</v>
      </c>
      <c r="L38" s="142">
        <v>0</v>
      </c>
      <c r="M38" s="142">
        <v>0</v>
      </c>
      <c r="N38" s="142">
        <v>277068.5969624999</v>
      </c>
      <c r="O38" s="142">
        <v>2766009.8176889997</v>
      </c>
      <c r="P38" s="142">
        <v>108898.71968962175</v>
      </c>
      <c r="Q38" s="142">
        <v>104263.86424337301</v>
      </c>
      <c r="R38" s="142">
        <v>2023582.7127365328</v>
      </c>
      <c r="S38" s="142">
        <v>1952337.0441165445</v>
      </c>
      <c r="T38" s="142">
        <v>2167579.0281806234</v>
      </c>
      <c r="U38" s="142">
        <v>2119344.2261409452</v>
      </c>
      <c r="V38" s="142">
        <v>2184774.7420778982</v>
      </c>
      <c r="W38" s="142">
        <v>2242351.9818535871</v>
      </c>
      <c r="X38" s="142">
        <v>2291397.1256043478</v>
      </c>
      <c r="Y38" s="142">
        <v>2201297.9376657978</v>
      </c>
      <c r="Z38" s="142">
        <v>210355.58258780366</v>
      </c>
      <c r="AA38" s="142">
        <v>185059.88465410777</v>
      </c>
      <c r="AB38" s="142">
        <v>182165.15579444269</v>
      </c>
      <c r="AC38" s="142">
        <v>181105.61414586508</v>
      </c>
      <c r="AD38" s="142">
        <v>180056.51957160377</v>
      </c>
      <c r="AE38" s="142">
        <v>169929.96372071552</v>
      </c>
      <c r="AF38" s="142">
        <v>159831.26395558903</v>
      </c>
      <c r="AG38" s="142">
        <v>147946.25090815008</v>
      </c>
      <c r="AH38" s="142">
        <v>136092.34625085595</v>
      </c>
      <c r="AI38" s="142">
        <v>123364.15421439306</v>
      </c>
      <c r="AJ38" s="142">
        <v>109764.17339839252</v>
      </c>
      <c r="AK38" s="142">
        <v>95294.898450263267</v>
      </c>
      <c r="AL38" s="142">
        <v>0</v>
      </c>
      <c r="AM38" s="142">
        <v>0</v>
      </c>
      <c r="AN38" s="142">
        <v>0</v>
      </c>
      <c r="AO38" s="142">
        <v>0</v>
      </c>
      <c r="AP38" s="142">
        <v>0</v>
      </c>
      <c r="AQ38" s="142">
        <v>0</v>
      </c>
      <c r="AR38" s="142">
        <v>0</v>
      </c>
      <c r="AS38" s="142">
        <v>0</v>
      </c>
      <c r="AT38" s="142">
        <v>0</v>
      </c>
      <c r="AU38" s="142">
        <v>0</v>
      </c>
      <c r="AV38" s="142">
        <v>0</v>
      </c>
      <c r="AW38" s="142">
        <v>0</v>
      </c>
      <c r="AX38" s="142">
        <v>0</v>
      </c>
      <c r="AY38" s="142">
        <v>0</v>
      </c>
      <c r="AZ38" s="142">
        <v>0</v>
      </c>
      <c r="BA38" s="142">
        <v>0</v>
      </c>
      <c r="BB38" s="140"/>
    </row>
    <row r="39" spans="1:54" x14ac:dyDescent="0.3">
      <c r="B39" s="140"/>
      <c r="C39" s="140"/>
      <c r="D39" s="140"/>
      <c r="E39" s="141" t="s">
        <v>66</v>
      </c>
      <c r="F39" s="142">
        <v>28396816.453261591</v>
      </c>
      <c r="G39" s="140" t="s">
        <v>228</v>
      </c>
      <c r="H39" s="140"/>
      <c r="I39" s="142">
        <v>0</v>
      </c>
      <c r="J39" s="142">
        <v>0</v>
      </c>
      <c r="K39" s="142">
        <v>0</v>
      </c>
      <c r="L39" s="142">
        <v>0</v>
      </c>
      <c r="M39" s="142">
        <v>0</v>
      </c>
      <c r="N39" s="142">
        <v>0</v>
      </c>
      <c r="O39" s="142">
        <v>384725.10262499994</v>
      </c>
      <c r="P39" s="142">
        <v>96784.295586808905</v>
      </c>
      <c r="Q39" s="142">
        <v>93874.195525517862</v>
      </c>
      <c r="R39" s="142">
        <v>91051.596048028965</v>
      </c>
      <c r="S39" s="142">
        <v>382693.42018246901</v>
      </c>
      <c r="T39" s="142">
        <v>656714.8149068706</v>
      </c>
      <c r="U39" s="142">
        <v>969300.32141612074</v>
      </c>
      <c r="V39" s="142">
        <v>1262494.5297646583</v>
      </c>
      <c r="W39" s="142">
        <v>1563234.8636085496</v>
      </c>
      <c r="X39" s="142">
        <v>1870019.0738285268</v>
      </c>
      <c r="Y39" s="142">
        <v>2181451.9827344073</v>
      </c>
      <c r="Z39" s="142">
        <v>2472465.9837659351</v>
      </c>
      <c r="AA39" s="142">
        <v>2375065.2496445877</v>
      </c>
      <c r="AB39" s="142">
        <v>2258920.9290075931</v>
      </c>
      <c r="AC39" s="142">
        <v>2190999.9311421858</v>
      </c>
      <c r="AD39" s="142">
        <v>2125121.1747256895</v>
      </c>
      <c r="AE39" s="142">
        <v>1857141.743573362</v>
      </c>
      <c r="AF39" s="142">
        <v>1603356.1913584624</v>
      </c>
      <c r="AG39" s="142">
        <v>1324754.5497447511</v>
      </c>
      <c r="AH39" s="142">
        <v>1061457.2785033642</v>
      </c>
      <c r="AI39" s="142">
        <v>794733.78348644706</v>
      </c>
      <c r="AJ39" s="142">
        <v>525571.23500117729</v>
      </c>
      <c r="AK39" s="142">
        <v>254884.20708107538</v>
      </c>
      <c r="AL39" s="142">
        <v>0</v>
      </c>
      <c r="AM39" s="142">
        <v>0</v>
      </c>
      <c r="AN39" s="142">
        <v>0</v>
      </c>
      <c r="AO39" s="142">
        <v>0</v>
      </c>
      <c r="AP39" s="142">
        <v>0</v>
      </c>
      <c r="AQ39" s="142">
        <v>0</v>
      </c>
      <c r="AR39" s="142">
        <v>0</v>
      </c>
      <c r="AS39" s="142">
        <v>0</v>
      </c>
      <c r="AT39" s="142">
        <v>0</v>
      </c>
      <c r="AU39" s="142">
        <v>0</v>
      </c>
      <c r="AV39" s="142">
        <v>0</v>
      </c>
      <c r="AW39" s="142">
        <v>0</v>
      </c>
      <c r="AX39" s="142">
        <v>0</v>
      </c>
      <c r="AY39" s="142">
        <v>0</v>
      </c>
      <c r="AZ39" s="142">
        <v>0</v>
      </c>
      <c r="BA39" s="142">
        <v>0</v>
      </c>
      <c r="BB39" s="140"/>
    </row>
    <row r="40" spans="1:54" x14ac:dyDescent="0.3">
      <c r="B40" s="140"/>
      <c r="C40" s="140"/>
      <c r="D40" s="140"/>
      <c r="E40" s="141" t="s">
        <v>67</v>
      </c>
      <c r="F40" s="142">
        <v>2181374.0130883125</v>
      </c>
      <c r="G40" s="140" t="s">
        <v>228</v>
      </c>
      <c r="H40" s="140"/>
      <c r="I40" s="142">
        <v>0</v>
      </c>
      <c r="J40" s="142">
        <v>0</v>
      </c>
      <c r="K40" s="142">
        <v>0</v>
      </c>
      <c r="L40" s="142">
        <v>0</v>
      </c>
      <c r="M40" s="142">
        <v>0</v>
      </c>
      <c r="N40" s="142">
        <v>0</v>
      </c>
      <c r="O40" s="142">
        <v>26392.419167858756</v>
      </c>
      <c r="P40" s="142">
        <v>51197.709345991774</v>
      </c>
      <c r="Q40" s="142">
        <v>0</v>
      </c>
      <c r="R40" s="142">
        <v>0</v>
      </c>
      <c r="S40" s="142">
        <v>233584.77867237417</v>
      </c>
      <c r="T40" s="142">
        <v>226561.37601588186</v>
      </c>
      <c r="U40" s="142">
        <v>263698.98275369377</v>
      </c>
      <c r="V40" s="142">
        <v>255770.10936342771</v>
      </c>
      <c r="W40" s="142">
        <v>268752.94388332992</v>
      </c>
      <c r="X40" s="142">
        <v>280723.80917455925</v>
      </c>
      <c r="Y40" s="142">
        <v>291731.82330735697</v>
      </c>
      <c r="Z40" s="142">
        <v>282960.06140383804</v>
      </c>
      <c r="AA40" s="142">
        <v>0</v>
      </c>
      <c r="AB40" s="142">
        <v>0</v>
      </c>
      <c r="AC40" s="142">
        <v>0</v>
      </c>
      <c r="AD40" s="142">
        <v>0</v>
      </c>
      <c r="AE40" s="142">
        <v>0</v>
      </c>
      <c r="AF40" s="142">
        <v>0</v>
      </c>
      <c r="AG40" s="142">
        <v>0</v>
      </c>
      <c r="AH40" s="142">
        <v>0</v>
      </c>
      <c r="AI40" s="142">
        <v>0</v>
      </c>
      <c r="AJ40" s="142">
        <v>0</v>
      </c>
      <c r="AK40" s="142">
        <v>0</v>
      </c>
      <c r="AL40" s="142">
        <v>0</v>
      </c>
      <c r="AM40" s="142">
        <v>0</v>
      </c>
      <c r="AN40" s="142">
        <v>0</v>
      </c>
      <c r="AO40" s="142">
        <v>0</v>
      </c>
      <c r="AP40" s="142">
        <v>0</v>
      </c>
      <c r="AQ40" s="142">
        <v>0</v>
      </c>
      <c r="AR40" s="142">
        <v>0</v>
      </c>
      <c r="AS40" s="142">
        <v>0</v>
      </c>
      <c r="AT40" s="142">
        <v>0</v>
      </c>
      <c r="AU40" s="142">
        <v>0</v>
      </c>
      <c r="AV40" s="142">
        <v>0</v>
      </c>
      <c r="AW40" s="142">
        <v>0</v>
      </c>
      <c r="AX40" s="142">
        <v>0</v>
      </c>
      <c r="AY40" s="142">
        <v>0</v>
      </c>
      <c r="AZ40" s="142">
        <v>0</v>
      </c>
      <c r="BA40" s="142">
        <v>0</v>
      </c>
      <c r="BB40" s="140"/>
    </row>
    <row r="41" spans="1:54" x14ac:dyDescent="0.3">
      <c r="B41" s="140"/>
      <c r="C41" s="140"/>
      <c r="D41" s="140"/>
      <c r="E41" s="141" t="s">
        <v>68</v>
      </c>
      <c r="F41" s="142">
        <v>2603523.4199357638</v>
      </c>
      <c r="G41" s="140" t="s">
        <v>228</v>
      </c>
      <c r="H41" s="140"/>
      <c r="I41" s="142">
        <v>0</v>
      </c>
      <c r="J41" s="142">
        <v>0</v>
      </c>
      <c r="K41" s="142">
        <v>0</v>
      </c>
      <c r="L41" s="142">
        <v>0</v>
      </c>
      <c r="M41" s="142">
        <v>0</v>
      </c>
      <c r="N41" s="142">
        <v>0</v>
      </c>
      <c r="O41" s="142">
        <v>31500</v>
      </c>
      <c r="P41" s="142">
        <v>61105.722599418048</v>
      </c>
      <c r="Q41" s="142">
        <v>0</v>
      </c>
      <c r="R41" s="142">
        <v>0</v>
      </c>
      <c r="S41" s="142">
        <v>278789.1659867398</v>
      </c>
      <c r="T41" s="142">
        <v>270406.56254775927</v>
      </c>
      <c r="U41" s="142">
        <v>314731.20762105833</v>
      </c>
      <c r="V41" s="142">
        <v>305267.90263924206</v>
      </c>
      <c r="W41" s="142">
        <v>320763.23426367156</v>
      </c>
      <c r="X41" s="142">
        <v>335050.75577791536</v>
      </c>
      <c r="Y41" s="142">
        <v>348189.09080426308</v>
      </c>
      <c r="Z41" s="142">
        <v>337719.77769569651</v>
      </c>
      <c r="AA41" s="142">
        <v>0</v>
      </c>
      <c r="AB41" s="142">
        <v>0</v>
      </c>
      <c r="AC41" s="142">
        <v>0</v>
      </c>
      <c r="AD41" s="142">
        <v>0</v>
      </c>
      <c r="AE41" s="142">
        <v>0</v>
      </c>
      <c r="AF41" s="142">
        <v>0</v>
      </c>
      <c r="AG41" s="142">
        <v>0</v>
      </c>
      <c r="AH41" s="142">
        <v>0</v>
      </c>
      <c r="AI41" s="142">
        <v>0</v>
      </c>
      <c r="AJ41" s="142">
        <v>0</v>
      </c>
      <c r="AK41" s="142">
        <v>0</v>
      </c>
      <c r="AL41" s="142">
        <v>0</v>
      </c>
      <c r="AM41" s="142">
        <v>0</v>
      </c>
      <c r="AN41" s="142">
        <v>0</v>
      </c>
      <c r="AO41" s="142">
        <v>0</v>
      </c>
      <c r="AP41" s="142">
        <v>0</v>
      </c>
      <c r="AQ41" s="142">
        <v>0</v>
      </c>
      <c r="AR41" s="142">
        <v>0</v>
      </c>
      <c r="AS41" s="142">
        <v>0</v>
      </c>
      <c r="AT41" s="142">
        <v>0</v>
      </c>
      <c r="AU41" s="142">
        <v>0</v>
      </c>
      <c r="AV41" s="142">
        <v>0</v>
      </c>
      <c r="AW41" s="142">
        <v>0</v>
      </c>
      <c r="AX41" s="142">
        <v>0</v>
      </c>
      <c r="AY41" s="142">
        <v>0</v>
      </c>
      <c r="AZ41" s="142">
        <v>0</v>
      </c>
      <c r="BA41" s="142">
        <v>0</v>
      </c>
      <c r="BB41" s="140"/>
    </row>
    <row r="42" spans="1:54" x14ac:dyDescent="0.3">
      <c r="B42" s="140"/>
      <c r="C42" s="140"/>
      <c r="D42" s="140"/>
      <c r="E42" s="141"/>
      <c r="F42" s="142"/>
      <c r="G42" s="140"/>
      <c r="H42" s="140"/>
      <c r="I42" s="143"/>
      <c r="J42" s="143"/>
      <c r="K42" s="143"/>
      <c r="L42" s="143"/>
      <c r="M42" s="143"/>
      <c r="N42" s="143"/>
      <c r="O42" s="143"/>
      <c r="P42" s="143"/>
      <c r="Q42" s="143"/>
      <c r="R42" s="143"/>
      <c r="S42" s="143"/>
      <c r="T42" s="143"/>
      <c r="U42" s="143"/>
      <c r="V42" s="143"/>
      <c r="W42" s="143"/>
      <c r="X42" s="143"/>
      <c r="Y42" s="143"/>
      <c r="Z42" s="143"/>
      <c r="AA42" s="143"/>
      <c r="AB42" s="143"/>
      <c r="AC42" s="143"/>
      <c r="AD42" s="143"/>
      <c r="AE42" s="143"/>
      <c r="AF42" s="143"/>
      <c r="AG42" s="143"/>
      <c r="AH42" s="143"/>
      <c r="AI42" s="143"/>
      <c r="AJ42" s="143"/>
      <c r="AK42" s="143"/>
      <c r="AL42" s="143"/>
      <c r="AM42" s="143"/>
      <c r="AN42" s="143"/>
      <c r="AO42" s="143"/>
      <c r="AP42" s="143"/>
      <c r="AQ42" s="143"/>
      <c r="AR42" s="143"/>
      <c r="AS42" s="143"/>
      <c r="AT42" s="143"/>
      <c r="AU42" s="143"/>
      <c r="AV42" s="143"/>
      <c r="AW42" s="143"/>
      <c r="AX42" s="143"/>
      <c r="AY42" s="143"/>
      <c r="AZ42" s="143"/>
      <c r="BA42" s="143"/>
      <c r="BB42" s="140"/>
    </row>
    <row r="43" spans="1:54" x14ac:dyDescent="0.3">
      <c r="A43" s="1" t="s">
        <v>232</v>
      </c>
      <c r="E43" s="29"/>
    </row>
    <row r="44" spans="1:54" x14ac:dyDescent="0.3">
      <c r="E44" s="29" t="s">
        <v>226</v>
      </c>
      <c r="F44" s="22">
        <v>3.2418167491059493</v>
      </c>
      <c r="G44" s="2" t="s">
        <v>167</v>
      </c>
    </row>
    <row r="45" spans="1:54" x14ac:dyDescent="0.3">
      <c r="E45" s="29"/>
    </row>
    <row r="46" spans="1:54" x14ac:dyDescent="0.3">
      <c r="A46" s="1" t="s">
        <v>233</v>
      </c>
      <c r="E46" s="29"/>
    </row>
    <row r="47" spans="1:54" x14ac:dyDescent="0.3">
      <c r="E47" s="29" t="s">
        <v>146</v>
      </c>
      <c r="F47" s="15">
        <v>113697520.74732484</v>
      </c>
      <c r="G47" s="2" t="s">
        <v>228</v>
      </c>
    </row>
    <row r="48" spans="1:54" x14ac:dyDescent="0.3"/>
    <row r="49" spans="1:54" x14ac:dyDescent="0.3"/>
    <row r="50" spans="1:54" x14ac:dyDescent="0.3">
      <c r="A50" s="1" t="s">
        <v>234</v>
      </c>
    </row>
    <row r="51" spans="1:54" x14ac:dyDescent="0.3">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row>
    <row r="52" spans="1:54" x14ac:dyDescent="0.3">
      <c r="F52" s="51"/>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row>
    <row r="53" spans="1:54" x14ac:dyDescent="0.3">
      <c r="F53" s="47"/>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row>
    <row r="54" spans="1:54" x14ac:dyDescent="0.3">
      <c r="F54" s="51"/>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row>
    <row r="55" spans="1:54" x14ac:dyDescent="0.3">
      <c r="F55" s="51"/>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row>
    <row r="56" spans="1:54" x14ac:dyDescent="0.3">
      <c r="F56" s="47"/>
    </row>
    <row r="57" spans="1:54" x14ac:dyDescent="0.3">
      <c r="F57" s="47"/>
    </row>
    <row r="58" spans="1:54" x14ac:dyDescent="0.3">
      <c r="E58" s="1"/>
      <c r="F58" s="22"/>
    </row>
    <row r="59" spans="1:54" x14ac:dyDescent="0.3">
      <c r="F59" s="47"/>
    </row>
    <row r="60" spans="1:54" x14ac:dyDescent="0.3">
      <c r="F60" s="51"/>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15"/>
      <c r="BA60" s="15"/>
      <c r="BB60" s="15"/>
    </row>
    <row r="61" spans="1:54" x14ac:dyDescent="0.3">
      <c r="F61" s="47"/>
    </row>
    <row r="62" spans="1:54" x14ac:dyDescent="0.3">
      <c r="F62" s="51"/>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row>
    <row r="63" spans="1:54" x14ac:dyDescent="0.3">
      <c r="F63" s="51"/>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row>
    <row r="64" spans="1:54" x14ac:dyDescent="0.3">
      <c r="F64" s="47"/>
    </row>
    <row r="65" spans="1:8" x14ac:dyDescent="0.3">
      <c r="F65" s="47"/>
    </row>
    <row r="66" spans="1:8" x14ac:dyDescent="0.3">
      <c r="E66" s="1"/>
      <c r="F66" s="22"/>
    </row>
    <row r="67" spans="1:8" x14ac:dyDescent="0.3"/>
    <row r="68" spans="1:8" x14ac:dyDescent="0.3"/>
    <row r="69" spans="1:8" s="55" customFormat="1" x14ac:dyDescent="0.3">
      <c r="A69" s="2"/>
      <c r="B69" s="2"/>
      <c r="C69" s="2"/>
      <c r="D69" s="2"/>
      <c r="E69" s="2"/>
      <c r="F69" s="47"/>
      <c r="G69" s="2"/>
      <c r="H69" s="2"/>
    </row>
    <row r="70" spans="1:8" s="55" customFormat="1" x14ac:dyDescent="0.3">
      <c r="F70" s="47"/>
    </row>
    <row r="71" spans="1:8" s="55" customFormat="1" x14ac:dyDescent="0.3"/>
    <row r="72" spans="1:8" s="55" customFormat="1" x14ac:dyDescent="0.3"/>
    <row r="73" spans="1:8" s="55" customFormat="1" x14ac:dyDescent="0.3"/>
    <row r="74" spans="1:8" s="55" customFormat="1" x14ac:dyDescent="0.3"/>
    <row r="75" spans="1:8" s="55" customFormat="1" x14ac:dyDescent="0.3"/>
    <row r="76" spans="1:8" s="55" customFormat="1" x14ac:dyDescent="0.3"/>
    <row r="77" spans="1:8" s="55" customFormat="1" x14ac:dyDescent="0.3"/>
    <row r="78" spans="1:8" s="55" customFormat="1" x14ac:dyDescent="0.3"/>
    <row r="79" spans="1:8" s="55" customFormat="1" x14ac:dyDescent="0.3"/>
    <row r="80" spans="1:8" s="55" customFormat="1" x14ac:dyDescent="0.3"/>
    <row r="81" s="55" customFormat="1" x14ac:dyDescent="0.3"/>
    <row r="82" s="55" customFormat="1" x14ac:dyDescent="0.3"/>
    <row r="83" s="55" customFormat="1" x14ac:dyDescent="0.3"/>
    <row r="84" s="55" customFormat="1" x14ac:dyDescent="0.3"/>
    <row r="85" s="55" customFormat="1" x14ac:dyDescent="0.3"/>
    <row r="86" s="55" customFormat="1" x14ac:dyDescent="0.3"/>
    <row r="87" s="55" customFormat="1" x14ac:dyDescent="0.3"/>
    <row r="88" s="55" customFormat="1" x14ac:dyDescent="0.3"/>
    <row r="89" s="55" customFormat="1" x14ac:dyDescent="0.3"/>
    <row r="90" s="55" customFormat="1" x14ac:dyDescent="0.3"/>
    <row r="91" s="55" customFormat="1" x14ac:dyDescent="0.3"/>
    <row r="92" s="55" customFormat="1" x14ac:dyDescent="0.3"/>
    <row r="93" s="55" customFormat="1" x14ac:dyDescent="0.3"/>
    <row r="94" s="55" customFormat="1" x14ac:dyDescent="0.3"/>
    <row r="95" s="55" customFormat="1" x14ac:dyDescent="0.3"/>
    <row r="96" s="55" customFormat="1" x14ac:dyDescent="0.3"/>
    <row r="97" s="55" customFormat="1" x14ac:dyDescent="0.3"/>
    <row r="98" s="55" customFormat="1" x14ac:dyDescent="0.3"/>
    <row r="99" s="55" customFormat="1" x14ac:dyDescent="0.3"/>
    <row r="100" s="55" customFormat="1" x14ac:dyDescent="0.3"/>
    <row r="101" s="55" customFormat="1" x14ac:dyDescent="0.3"/>
    <row r="102" s="55" customFormat="1" x14ac:dyDescent="0.3"/>
    <row r="103" s="55" customFormat="1" x14ac:dyDescent="0.3"/>
    <row r="104" s="55" customFormat="1" x14ac:dyDescent="0.3"/>
    <row r="105" s="55" customFormat="1" x14ac:dyDescent="0.3"/>
    <row r="106" s="55" customFormat="1" x14ac:dyDescent="0.3"/>
    <row r="107" s="55" customFormat="1" x14ac:dyDescent="0.3"/>
    <row r="108" s="55" customFormat="1" x14ac:dyDescent="0.3"/>
    <row r="109" s="55" customFormat="1" x14ac:dyDescent="0.3"/>
    <row r="110" s="55" customFormat="1" x14ac:dyDescent="0.3"/>
    <row r="111" s="55" customFormat="1" x14ac:dyDescent="0.3"/>
    <row r="112" s="55" customFormat="1" x14ac:dyDescent="0.3"/>
    <row r="113" s="55" customFormat="1" x14ac:dyDescent="0.3"/>
    <row r="114" s="55" customFormat="1" x14ac:dyDescent="0.3"/>
    <row r="115" s="55" customFormat="1" x14ac:dyDescent="0.3"/>
    <row r="116" s="55" customFormat="1" x14ac:dyDescent="0.3"/>
    <row r="117" s="55" customFormat="1" x14ac:dyDescent="0.3"/>
    <row r="118" s="55" customFormat="1" x14ac:dyDescent="0.3"/>
    <row r="119" s="55" customFormat="1" x14ac:dyDescent="0.3"/>
    <row r="120" s="55" customFormat="1" x14ac:dyDescent="0.3"/>
    <row r="121" s="55" customFormat="1" x14ac:dyDescent="0.3"/>
    <row r="122" s="55" customFormat="1" x14ac:dyDescent="0.3"/>
    <row r="123" s="55" customFormat="1" x14ac:dyDescent="0.3"/>
    <row r="124" s="55" customFormat="1" x14ac:dyDescent="0.3"/>
    <row r="125" s="55" customFormat="1" x14ac:dyDescent="0.3"/>
    <row r="126" s="55" customFormat="1" x14ac:dyDescent="0.3"/>
    <row r="127" s="55" customFormat="1" x14ac:dyDescent="0.3"/>
    <row r="128" s="55" customFormat="1" x14ac:dyDescent="0.3"/>
    <row r="129" s="55" customFormat="1" x14ac:dyDescent="0.3"/>
    <row r="130" s="55" customFormat="1" x14ac:dyDescent="0.3"/>
    <row r="131" s="55" customFormat="1" x14ac:dyDescent="0.3"/>
    <row r="132" s="55" customFormat="1" x14ac:dyDescent="0.3"/>
    <row r="133" x14ac:dyDescent="0.3"/>
    <row r="134" x14ac:dyDescent="0.3"/>
    <row r="135" x14ac:dyDescent="0.3"/>
    <row r="136" x14ac:dyDescent="0.3"/>
    <row r="137" x14ac:dyDescent="0.3"/>
    <row r="138" x14ac:dyDescent="0.3"/>
    <row r="139" x14ac:dyDescent="0.3"/>
    <row r="140" x14ac:dyDescent="0.3"/>
    <row r="141" x14ac:dyDescent="0.3"/>
    <row r="142" x14ac:dyDescent="0.3"/>
    <row r="143" x14ac:dyDescent="0.3"/>
    <row r="144" x14ac:dyDescent="0.3"/>
    <row r="145" x14ac:dyDescent="0.3"/>
    <row r="146" x14ac:dyDescent="0.3"/>
    <row r="147" x14ac:dyDescent="0.3"/>
    <row r="148" x14ac:dyDescent="0.3"/>
    <row r="149" x14ac:dyDescent="0.3"/>
    <row r="150" x14ac:dyDescent="0.3"/>
    <row r="151" x14ac:dyDescent="0.3"/>
    <row r="152" x14ac:dyDescent="0.3"/>
    <row r="153" x14ac:dyDescent="0.3"/>
    <row r="154" x14ac:dyDescent="0.3"/>
    <row r="155" x14ac:dyDescent="0.3"/>
    <row r="156" x14ac:dyDescent="0.3"/>
    <row r="157" x14ac:dyDescent="0.3"/>
    <row r="158" x14ac:dyDescent="0.3"/>
    <row r="159" x14ac:dyDescent="0.3"/>
    <row r="160" x14ac:dyDescent="0.3"/>
    <row r="161" x14ac:dyDescent="0.3"/>
    <row r="162" x14ac:dyDescent="0.3"/>
    <row r="163" x14ac:dyDescent="0.3"/>
    <row r="164" x14ac:dyDescent="0.3"/>
    <row r="165" x14ac:dyDescent="0.3"/>
    <row r="166" x14ac:dyDescent="0.3"/>
    <row r="167" x14ac:dyDescent="0.3"/>
    <row r="168" x14ac:dyDescent="0.3"/>
    <row r="169" x14ac:dyDescent="0.3"/>
    <row r="170" x14ac:dyDescent="0.3"/>
    <row r="171" x14ac:dyDescent="0.3"/>
    <row r="172" x14ac:dyDescent="0.3"/>
    <row r="173" x14ac:dyDescent="0.3"/>
    <row r="174" x14ac:dyDescent="0.3"/>
    <row r="175" x14ac:dyDescent="0.3"/>
    <row r="176" x14ac:dyDescent="0.3"/>
    <row r="177" x14ac:dyDescent="0.3"/>
    <row r="178" x14ac:dyDescent="0.3"/>
    <row r="179" x14ac:dyDescent="0.3"/>
    <row r="180" x14ac:dyDescent="0.3"/>
    <row r="181" x14ac:dyDescent="0.3"/>
    <row r="182" x14ac:dyDescent="0.3"/>
    <row r="183" x14ac:dyDescent="0.3"/>
    <row r="184" x14ac:dyDescent="0.3"/>
    <row r="185" x14ac:dyDescent="0.3"/>
    <row r="186" x14ac:dyDescent="0.3"/>
    <row r="187" x14ac:dyDescent="0.3"/>
    <row r="188" x14ac:dyDescent="0.3"/>
    <row r="189" x14ac:dyDescent="0.3"/>
    <row r="190" x14ac:dyDescent="0.3"/>
    <row r="191" x14ac:dyDescent="0.3"/>
    <row r="192" x14ac:dyDescent="0.3"/>
    <row r="193" x14ac:dyDescent="0.3"/>
    <row r="194" x14ac:dyDescent="0.3"/>
    <row r="195" x14ac:dyDescent="0.3"/>
    <row r="196" x14ac:dyDescent="0.3"/>
    <row r="197" x14ac:dyDescent="0.3"/>
    <row r="198" x14ac:dyDescent="0.3"/>
    <row r="199" x14ac:dyDescent="0.3"/>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5">
    <tabColor theme="9" tint="0.39997558519241921"/>
  </sheetPr>
  <dimension ref="A1"/>
  <sheetViews>
    <sheetView workbookViewId="0"/>
  </sheetViews>
  <sheetFormatPr defaultColWidth="8.5546875" defaultRowHeight="14.4" x14ac:dyDescent="0.3"/>
  <cols>
    <col min="1" max="16384" width="8.5546875" style="2"/>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29596-5C91-41EB-9DA4-EDEF1A149D00}">
  <dimension ref="B2:B26"/>
  <sheetViews>
    <sheetView workbookViewId="0">
      <selection activeCell="B8" sqref="B8"/>
    </sheetView>
  </sheetViews>
  <sheetFormatPr defaultRowHeight="14.4" x14ac:dyDescent="0.3"/>
  <cols>
    <col min="2" max="2" width="58.5546875" bestFit="1" customWidth="1"/>
  </cols>
  <sheetData>
    <row r="2" spans="2:2" x14ac:dyDescent="0.3">
      <c r="B2" s="57" t="s">
        <v>18</v>
      </c>
    </row>
    <row r="3" spans="2:2" x14ac:dyDescent="0.3">
      <c r="B3" s="57" t="s">
        <v>19</v>
      </c>
    </row>
    <row r="4" spans="2:2" x14ac:dyDescent="0.3">
      <c r="B4" s="74" t="s">
        <v>20</v>
      </c>
    </row>
    <row r="5" spans="2:2" x14ac:dyDescent="0.3">
      <c r="B5" s="57" t="s">
        <v>21</v>
      </c>
    </row>
    <row r="6" spans="2:2" x14ac:dyDescent="0.3">
      <c r="B6" s="57" t="s">
        <v>22</v>
      </c>
    </row>
    <row r="7" spans="2:2" x14ac:dyDescent="0.3">
      <c r="B7" s="57" t="s">
        <v>23</v>
      </c>
    </row>
    <row r="8" spans="2:2" x14ac:dyDescent="0.3">
      <c r="B8" s="57" t="e">
        <f>#REF!</f>
        <v>#REF!</v>
      </c>
    </row>
    <row r="9" spans="2:2" x14ac:dyDescent="0.3">
      <c r="B9" s="57" t="e">
        <f>IF(#REF!="Small Agencies (&lt;25k annual passengers)",#REF!,#REF!)</f>
        <v>#REF!</v>
      </c>
    </row>
    <row r="10" spans="2:2" x14ac:dyDescent="0.3">
      <c r="B10" s="57" t="s">
        <v>24</v>
      </c>
    </row>
    <row r="11" spans="2:2" x14ac:dyDescent="0.3">
      <c r="B11" s="57" t="s">
        <v>25</v>
      </c>
    </row>
    <row r="12" spans="2:2" x14ac:dyDescent="0.3">
      <c r="B12" s="57" t="s">
        <v>26</v>
      </c>
    </row>
    <row r="13" spans="2:2" x14ac:dyDescent="0.3">
      <c r="B13" s="57" t="s">
        <v>27</v>
      </c>
    </row>
    <row r="14" spans="2:2" x14ac:dyDescent="0.3">
      <c r="B14" s="57" t="s">
        <v>28</v>
      </c>
    </row>
    <row r="15" spans="2:2" x14ac:dyDescent="0.3">
      <c r="B15" s="57" t="s">
        <v>29</v>
      </c>
    </row>
    <row r="16" spans="2:2" x14ac:dyDescent="0.3">
      <c r="B16" s="57" t="s">
        <v>30</v>
      </c>
    </row>
    <row r="17" spans="2:2" x14ac:dyDescent="0.3">
      <c r="B17" s="57" t="s">
        <v>31</v>
      </c>
    </row>
    <row r="18" spans="2:2" x14ac:dyDescent="0.3">
      <c r="B18" s="57" t="s">
        <v>32</v>
      </c>
    </row>
    <row r="19" spans="2:2" x14ac:dyDescent="0.3">
      <c r="B19" s="57" t="s">
        <v>33</v>
      </c>
    </row>
    <row r="20" spans="2:2" x14ac:dyDescent="0.3">
      <c r="B20" s="57" t="s">
        <v>34</v>
      </c>
    </row>
    <row r="21" spans="2:2" x14ac:dyDescent="0.3">
      <c r="B21" s="57" t="s">
        <v>35</v>
      </c>
    </row>
    <row r="22" spans="2:2" x14ac:dyDescent="0.3">
      <c r="B22" s="57" t="s">
        <v>36</v>
      </c>
    </row>
    <row r="23" spans="2:2" x14ac:dyDescent="0.3">
      <c r="B23" s="57" t="s">
        <v>37</v>
      </c>
    </row>
    <row r="24" spans="2:2" x14ac:dyDescent="0.3">
      <c r="B24" s="57" t="s">
        <v>38</v>
      </c>
    </row>
    <row r="25" spans="2:2" x14ac:dyDescent="0.3">
      <c r="B25" s="57" t="s">
        <v>39</v>
      </c>
    </row>
    <row r="26" spans="2:2" x14ac:dyDescent="0.3">
      <c r="B26" s="57" t="s">
        <v>40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93F1E-EB20-4A7F-9ADE-4B70319A0F81}">
  <sheetPr>
    <tabColor theme="3"/>
  </sheetPr>
  <dimension ref="A3:BB95"/>
  <sheetViews>
    <sheetView workbookViewId="0">
      <selection activeCell="C21" sqref="C21"/>
    </sheetView>
  </sheetViews>
  <sheetFormatPr defaultColWidth="0" defaultRowHeight="14.4" x14ac:dyDescent="0.3"/>
  <cols>
    <col min="1" max="3" width="1.5546875" customWidth="1"/>
    <col min="4" max="4" width="5" bestFit="1" customWidth="1"/>
    <col min="5" max="5" width="42.44140625" bestFit="1" customWidth="1"/>
    <col min="6" max="6" width="13.5546875" bestFit="1" customWidth="1"/>
    <col min="7" max="7" width="8.5546875" customWidth="1"/>
    <col min="8" max="8" width="4.5546875" bestFit="1" customWidth="1"/>
    <col min="9" max="10" width="12.5546875" customWidth="1"/>
    <col min="11" max="21" width="14.5546875" bestFit="1" customWidth="1"/>
    <col min="22" max="53" width="12.5546875" bestFit="1" customWidth="1"/>
    <col min="54" max="54" width="8.5546875" customWidth="1"/>
    <col min="55" max="16384" width="8.5546875" hidden="1"/>
  </cols>
  <sheetData>
    <row r="3" spans="5:53" s="113" customFormat="1" x14ac:dyDescent="0.3">
      <c r="E3" s="113" t="str">
        <f>'Discounted Summary'!E2</f>
        <v>Variable</v>
      </c>
      <c r="F3" s="113" t="str">
        <f>'Discounted Summary'!F2</f>
        <v>Value</v>
      </c>
      <c r="G3" s="113" t="str">
        <f>'Discounted Summary'!G2</f>
        <v>Unit</v>
      </c>
      <c r="I3" s="113">
        <f>'Discounted Summary'!I2</f>
        <v>2019</v>
      </c>
      <c r="J3" s="113">
        <f>'Discounted Summary'!J2</f>
        <v>2020</v>
      </c>
      <c r="K3" s="113">
        <f>'Discounted Summary'!K2</f>
        <v>2021</v>
      </c>
      <c r="L3" s="113">
        <f>'Discounted Summary'!L2</f>
        <v>2022</v>
      </c>
      <c r="M3" s="113">
        <f>'Discounted Summary'!M2</f>
        <v>2023</v>
      </c>
      <c r="N3" s="113">
        <f>'Discounted Summary'!N2</f>
        <v>2024</v>
      </c>
      <c r="O3" s="113">
        <f>'Discounted Summary'!O2</f>
        <v>2025</v>
      </c>
      <c r="P3" s="113">
        <f>'Discounted Summary'!P2</f>
        <v>2026</v>
      </c>
      <c r="Q3" s="113">
        <f>'Discounted Summary'!Q2</f>
        <v>2027</v>
      </c>
      <c r="R3" s="113">
        <f>'Discounted Summary'!R2</f>
        <v>2028</v>
      </c>
      <c r="S3" s="113">
        <f>'Discounted Summary'!S2</f>
        <v>2029</v>
      </c>
      <c r="T3" s="113">
        <f>'Discounted Summary'!T2</f>
        <v>2030</v>
      </c>
      <c r="U3" s="113">
        <f>'Discounted Summary'!U2</f>
        <v>2031</v>
      </c>
      <c r="V3" s="113">
        <f>'Discounted Summary'!V2</f>
        <v>2032</v>
      </c>
      <c r="W3" s="113">
        <f>'Discounted Summary'!W2</f>
        <v>2033</v>
      </c>
      <c r="X3" s="113">
        <f>'Discounted Summary'!X2</f>
        <v>2034</v>
      </c>
      <c r="Y3" s="113">
        <f>'Discounted Summary'!Y2</f>
        <v>2035</v>
      </c>
      <c r="Z3" s="113">
        <f>'Discounted Summary'!Z2</f>
        <v>2036</v>
      </c>
      <c r="AA3" s="113">
        <f>'Discounted Summary'!AA2</f>
        <v>2037</v>
      </c>
      <c r="AB3" s="113">
        <f>'Discounted Summary'!AB2</f>
        <v>2038</v>
      </c>
      <c r="AC3" s="113">
        <f>'Discounted Summary'!AC2</f>
        <v>2039</v>
      </c>
      <c r="AD3" s="113">
        <f>'Discounted Summary'!AD2</f>
        <v>2040</v>
      </c>
      <c r="AE3" s="113">
        <f>'Discounted Summary'!AE2</f>
        <v>2041</v>
      </c>
      <c r="AF3" s="113">
        <f>'Discounted Summary'!AF2</f>
        <v>2042</v>
      </c>
      <c r="AG3" s="113">
        <f>'Discounted Summary'!AG2</f>
        <v>2043</v>
      </c>
      <c r="AH3" s="113">
        <f>'Discounted Summary'!AH2</f>
        <v>2044</v>
      </c>
      <c r="AI3" s="113">
        <f>'Discounted Summary'!AI2</f>
        <v>2045</v>
      </c>
      <c r="AJ3" s="113">
        <f>'Discounted Summary'!AJ2</f>
        <v>2046</v>
      </c>
      <c r="AK3" s="113">
        <f>'Discounted Summary'!AK2</f>
        <v>2047</v>
      </c>
      <c r="AL3" s="113">
        <f>'Discounted Summary'!AL2</f>
        <v>2048</v>
      </c>
      <c r="AM3" s="113">
        <f>'Discounted Summary'!AM2</f>
        <v>2049</v>
      </c>
      <c r="AN3" s="113">
        <f>'Discounted Summary'!AN2</f>
        <v>2050</v>
      </c>
      <c r="AO3" s="113">
        <f>'Discounted Summary'!AO2</f>
        <v>2051</v>
      </c>
      <c r="AP3" s="113">
        <f>'Discounted Summary'!AP2</f>
        <v>2052</v>
      </c>
      <c r="AQ3" s="113">
        <f>'Discounted Summary'!AQ2</f>
        <v>2053</v>
      </c>
      <c r="AR3" s="113">
        <f>'Discounted Summary'!AR2</f>
        <v>2054</v>
      </c>
      <c r="AS3" s="113">
        <f>'Discounted Summary'!AS2</f>
        <v>2055</v>
      </c>
      <c r="AT3" s="113">
        <f>'Discounted Summary'!AT2</f>
        <v>2056</v>
      </c>
      <c r="AU3" s="113">
        <f>'Discounted Summary'!AU2</f>
        <v>2057</v>
      </c>
      <c r="AV3" s="113">
        <f>'Discounted Summary'!AV2</f>
        <v>2058</v>
      </c>
      <c r="AW3" s="113">
        <f>'Discounted Summary'!AW2</f>
        <v>2059</v>
      </c>
      <c r="AX3" s="113">
        <f>'Discounted Summary'!AX2</f>
        <v>2060</v>
      </c>
      <c r="AY3" s="113">
        <f>'Discounted Summary'!AY2</f>
        <v>2061</v>
      </c>
      <c r="AZ3" s="113">
        <f>'Discounted Summary'!AZ2</f>
        <v>2062</v>
      </c>
      <c r="BA3" s="113">
        <f>'Discounted Summary'!BA2</f>
        <v>2063</v>
      </c>
    </row>
    <row r="5" spans="5:53" x14ac:dyDescent="0.3">
      <c r="E5" s="19" t="e">
        <f>#REF!</f>
        <v>#REF!</v>
      </c>
      <c r="F5" s="113" t="e">
        <f>#REF!</f>
        <v>#REF!</v>
      </c>
      <c r="G5" s="113" t="e">
        <f>#REF!</f>
        <v>#REF!</v>
      </c>
      <c r="H5" s="113" t="e">
        <f>#REF!</f>
        <v>#REF!</v>
      </c>
      <c r="I5" s="113" t="e">
        <f>#REF!</f>
        <v>#REF!</v>
      </c>
      <c r="J5" s="113" t="e">
        <f>#REF!</f>
        <v>#REF!</v>
      </c>
      <c r="K5" s="113" t="e">
        <f>#REF!</f>
        <v>#REF!</v>
      </c>
      <c r="L5" s="113" t="e">
        <f>#REF!</f>
        <v>#REF!</v>
      </c>
      <c r="M5" s="113" t="e">
        <f>#REF!</f>
        <v>#REF!</v>
      </c>
      <c r="N5" s="113" t="e">
        <f>#REF!</f>
        <v>#REF!</v>
      </c>
      <c r="O5" s="113" t="e">
        <f>#REF!</f>
        <v>#REF!</v>
      </c>
      <c r="P5" s="113" t="e">
        <f>#REF!</f>
        <v>#REF!</v>
      </c>
      <c r="Q5" s="113" t="e">
        <f>#REF!</f>
        <v>#REF!</v>
      </c>
      <c r="R5" s="113" t="e">
        <f>#REF!</f>
        <v>#REF!</v>
      </c>
      <c r="S5" s="113" t="e">
        <f>#REF!</f>
        <v>#REF!</v>
      </c>
      <c r="T5" s="113" t="e">
        <f>#REF!</f>
        <v>#REF!</v>
      </c>
      <c r="U5" s="113" t="e">
        <f>#REF!</f>
        <v>#REF!</v>
      </c>
      <c r="V5" s="113" t="e">
        <f>#REF!</f>
        <v>#REF!</v>
      </c>
      <c r="W5" s="113" t="e">
        <f>#REF!</f>
        <v>#REF!</v>
      </c>
      <c r="X5" s="113" t="e">
        <f>#REF!</f>
        <v>#REF!</v>
      </c>
      <c r="Y5" s="113" t="e">
        <f>#REF!</f>
        <v>#REF!</v>
      </c>
      <c r="Z5" s="113" t="e">
        <f>#REF!</f>
        <v>#REF!</v>
      </c>
      <c r="AA5" s="113" t="e">
        <f>#REF!</f>
        <v>#REF!</v>
      </c>
      <c r="AB5" s="113" t="e">
        <f>#REF!</f>
        <v>#REF!</v>
      </c>
      <c r="AC5" s="113" t="e">
        <f>#REF!</f>
        <v>#REF!</v>
      </c>
      <c r="AD5" s="113" t="e">
        <f>#REF!</f>
        <v>#REF!</v>
      </c>
      <c r="AE5" s="113" t="e">
        <f>#REF!</f>
        <v>#REF!</v>
      </c>
      <c r="AF5" s="113" t="e">
        <f>#REF!</f>
        <v>#REF!</v>
      </c>
      <c r="AG5" s="113" t="e">
        <f>#REF!</f>
        <v>#REF!</v>
      </c>
      <c r="AH5" s="113" t="e">
        <f>#REF!</f>
        <v>#REF!</v>
      </c>
      <c r="AI5" s="113" t="e">
        <f>#REF!</f>
        <v>#REF!</v>
      </c>
      <c r="AJ5" s="113" t="e">
        <f>#REF!</f>
        <v>#REF!</v>
      </c>
      <c r="AK5" s="113" t="e">
        <f>#REF!</f>
        <v>#REF!</v>
      </c>
      <c r="AL5" s="113" t="e">
        <f>#REF!</f>
        <v>#REF!</v>
      </c>
      <c r="AM5" s="113" t="e">
        <f>#REF!</f>
        <v>#REF!</v>
      </c>
      <c r="AN5" s="113" t="e">
        <f>#REF!</f>
        <v>#REF!</v>
      </c>
      <c r="AO5" s="113" t="e">
        <f>#REF!</f>
        <v>#REF!</v>
      </c>
      <c r="AP5" s="113" t="e">
        <f>#REF!</f>
        <v>#REF!</v>
      </c>
      <c r="AQ5" s="113" t="e">
        <f>#REF!</f>
        <v>#REF!</v>
      </c>
      <c r="AR5" s="113" t="e">
        <f>#REF!</f>
        <v>#REF!</v>
      </c>
      <c r="AS5" s="113" t="e">
        <f>#REF!</f>
        <v>#REF!</v>
      </c>
      <c r="AT5" s="113" t="e">
        <f>#REF!</f>
        <v>#REF!</v>
      </c>
      <c r="AU5" s="113" t="e">
        <f>#REF!</f>
        <v>#REF!</v>
      </c>
      <c r="AV5" s="113" t="e">
        <f>#REF!</f>
        <v>#REF!</v>
      </c>
      <c r="AW5" s="113" t="e">
        <f>#REF!</f>
        <v>#REF!</v>
      </c>
      <c r="AX5" s="113" t="e">
        <f>#REF!</f>
        <v>#REF!</v>
      </c>
      <c r="AY5" s="113" t="e">
        <f>#REF!</f>
        <v>#REF!</v>
      </c>
      <c r="AZ5" s="113" t="e">
        <f>#REF!</f>
        <v>#REF!</v>
      </c>
      <c r="BA5" s="113" t="e">
        <f>#REF!</f>
        <v>#REF!</v>
      </c>
    </row>
    <row r="6" spans="5:53" x14ac:dyDescent="0.3">
      <c r="E6" s="113" t="e">
        <f>#REF!</f>
        <v>#REF!</v>
      </c>
      <c r="F6" s="113" t="e">
        <f>#REF!</f>
        <v>#REF!</v>
      </c>
      <c r="G6" s="113" t="e">
        <f>#REF!</f>
        <v>#REF!</v>
      </c>
      <c r="H6" s="113" t="e">
        <f>#REF!</f>
        <v>#REF!</v>
      </c>
      <c r="I6" s="113" t="e">
        <f>#REF!</f>
        <v>#REF!</v>
      </c>
      <c r="J6" s="113" t="e">
        <f>#REF!</f>
        <v>#REF!</v>
      </c>
      <c r="K6" s="113" t="e">
        <f>#REF!</f>
        <v>#REF!</v>
      </c>
      <c r="L6" s="113" t="e">
        <f>#REF!</f>
        <v>#REF!</v>
      </c>
      <c r="M6" s="113" t="e">
        <f>#REF!</f>
        <v>#REF!</v>
      </c>
      <c r="N6" s="113" t="e">
        <f>#REF!</f>
        <v>#REF!</v>
      </c>
      <c r="O6" s="113" t="e">
        <f>#REF!</f>
        <v>#REF!</v>
      </c>
      <c r="P6" s="113" t="e">
        <f>#REF!</f>
        <v>#REF!</v>
      </c>
      <c r="Q6" s="113" t="e">
        <f>#REF!</f>
        <v>#REF!</v>
      </c>
      <c r="R6" s="113" t="e">
        <f>#REF!</f>
        <v>#REF!</v>
      </c>
      <c r="S6" s="113" t="e">
        <f>#REF!</f>
        <v>#REF!</v>
      </c>
      <c r="T6" s="113" t="e">
        <f>#REF!</f>
        <v>#REF!</v>
      </c>
      <c r="U6" s="113" t="e">
        <f>#REF!</f>
        <v>#REF!</v>
      </c>
      <c r="V6" s="113" t="e">
        <f>#REF!</f>
        <v>#REF!</v>
      </c>
      <c r="W6" s="113" t="e">
        <f>#REF!</f>
        <v>#REF!</v>
      </c>
      <c r="X6" s="113" t="e">
        <f>#REF!</f>
        <v>#REF!</v>
      </c>
      <c r="Y6" s="113" t="e">
        <f>#REF!</f>
        <v>#REF!</v>
      </c>
      <c r="Z6" s="113" t="e">
        <f>#REF!</f>
        <v>#REF!</v>
      </c>
      <c r="AA6" s="113" t="e">
        <f>#REF!</f>
        <v>#REF!</v>
      </c>
      <c r="AB6" s="113" t="e">
        <f>#REF!</f>
        <v>#REF!</v>
      </c>
      <c r="AC6" s="113" t="e">
        <f>#REF!</f>
        <v>#REF!</v>
      </c>
      <c r="AD6" s="113" t="e">
        <f>#REF!</f>
        <v>#REF!</v>
      </c>
      <c r="AE6" s="113" t="e">
        <f>#REF!</f>
        <v>#REF!</v>
      </c>
      <c r="AF6" s="113" t="e">
        <f>#REF!</f>
        <v>#REF!</v>
      </c>
      <c r="AG6" s="113" t="e">
        <f>#REF!</f>
        <v>#REF!</v>
      </c>
      <c r="AH6" s="113" t="e">
        <f>#REF!</f>
        <v>#REF!</v>
      </c>
      <c r="AI6" s="113" t="e">
        <f>#REF!</f>
        <v>#REF!</v>
      </c>
      <c r="AJ6" s="113" t="e">
        <f>#REF!</f>
        <v>#REF!</v>
      </c>
      <c r="AK6" s="113" t="e">
        <f>#REF!</f>
        <v>#REF!</v>
      </c>
      <c r="AL6" s="113" t="e">
        <f>#REF!</f>
        <v>#REF!</v>
      </c>
      <c r="AM6" s="113" t="e">
        <f>#REF!</f>
        <v>#REF!</v>
      </c>
      <c r="AN6" s="113" t="e">
        <f>#REF!</f>
        <v>#REF!</v>
      </c>
      <c r="AO6" s="113" t="e">
        <f>#REF!</f>
        <v>#REF!</v>
      </c>
      <c r="AP6" s="113" t="e">
        <f>#REF!</f>
        <v>#REF!</v>
      </c>
      <c r="AQ6" s="113" t="e">
        <f>#REF!</f>
        <v>#REF!</v>
      </c>
      <c r="AR6" s="113" t="e">
        <f>#REF!</f>
        <v>#REF!</v>
      </c>
      <c r="AS6" s="113" t="e">
        <f>#REF!</f>
        <v>#REF!</v>
      </c>
      <c r="AT6" s="113" t="e">
        <f>#REF!</f>
        <v>#REF!</v>
      </c>
      <c r="AU6" s="113" t="e">
        <f>#REF!</f>
        <v>#REF!</v>
      </c>
      <c r="AV6" s="113" t="e">
        <f>#REF!</f>
        <v>#REF!</v>
      </c>
      <c r="AW6" s="113" t="e">
        <f>#REF!</f>
        <v>#REF!</v>
      </c>
      <c r="AX6" s="113" t="e">
        <f>#REF!</f>
        <v>#REF!</v>
      </c>
      <c r="AY6" s="113" t="e">
        <f>#REF!</f>
        <v>#REF!</v>
      </c>
      <c r="AZ6" s="113" t="e">
        <f>#REF!</f>
        <v>#REF!</v>
      </c>
      <c r="BA6" s="113" t="e">
        <f>#REF!</f>
        <v>#REF!</v>
      </c>
    </row>
    <row r="8" spans="5:53" s="113" customFormat="1" x14ac:dyDescent="0.3">
      <c r="E8" s="117" t="str">
        <f>'Discounted Summary'!E13</f>
        <v>Operational Time Savings - Vehicle Operators</v>
      </c>
      <c r="F8" s="118">
        <f>'Discounted Summary'!F13</f>
        <v>9235143.3311453182</v>
      </c>
      <c r="G8" s="117" t="str">
        <f>'Discounted Summary'!G13</f>
        <v>2025$</v>
      </c>
      <c r="H8" s="117">
        <f>'Discounted Summary'!H13</f>
        <v>0</v>
      </c>
      <c r="I8" s="118">
        <f>'Discounted Summary'!I13</f>
        <v>0</v>
      </c>
      <c r="J8" s="118">
        <f>'Discounted Summary'!J13</f>
        <v>0</v>
      </c>
      <c r="K8" s="118">
        <f>'Discounted Summary'!K13</f>
        <v>0</v>
      </c>
      <c r="L8" s="118">
        <f>'Discounted Summary'!L13</f>
        <v>0</v>
      </c>
      <c r="M8" s="118">
        <f>'Discounted Summary'!M13</f>
        <v>0</v>
      </c>
      <c r="N8" s="118">
        <f>'Discounted Summary'!N13</f>
        <v>0</v>
      </c>
      <c r="O8" s="118">
        <f>'Discounted Summary'!O13</f>
        <v>10952.796918681817</v>
      </c>
      <c r="P8" s="118">
        <f>'Discounted Summary'!P13</f>
        <v>31870.408104796759</v>
      </c>
      <c r="Q8" s="118">
        <f>'Discounted Summary'!Q13</f>
        <v>30912.132012411988</v>
      </c>
      <c r="R8" s="118">
        <f>'Discounted Summary'!R13</f>
        <v>29982.669265191067</v>
      </c>
      <c r="S8" s="118">
        <f>'Discounted Summary'!S13</f>
        <v>126018.33186145616</v>
      </c>
      <c r="T8" s="118">
        <f>'Discounted Summary'!T13</f>
        <v>216251.70729041944</v>
      </c>
      <c r="U8" s="118">
        <f>'Discounted Summary'!U13</f>
        <v>319183.98157823476</v>
      </c>
      <c r="V8" s="118">
        <f>'Discounted Summary'!V13</f>
        <v>415730.83370311867</v>
      </c>
      <c r="W8" s="118">
        <f>'Discounted Summary'!W13</f>
        <v>514762.57346074079</v>
      </c>
      <c r="X8" s="118">
        <f>'Discounted Summary'!X13</f>
        <v>615784.52046710032</v>
      </c>
      <c r="Y8" s="118">
        <f>'Discounted Summary'!Y13</f>
        <v>718337.25222916517</v>
      </c>
      <c r="Z8" s="118">
        <f>'Discounted Summary'!Z13</f>
        <v>814166.17696174968</v>
      </c>
      <c r="AA8" s="118">
        <f>'Discounted Summary'!AA13</f>
        <v>782092.77985395258</v>
      </c>
      <c r="AB8" s="118">
        <f>'Discounted Summary'!AB13</f>
        <v>743847.24760812102</v>
      </c>
      <c r="AC8" s="118">
        <f>'Discounted Summary'!AC13</f>
        <v>721481.32648702338</v>
      </c>
      <c r="AD8" s="118">
        <f>'Discounted Summary'!AD13</f>
        <v>699787.90153930499</v>
      </c>
      <c r="AE8" s="118">
        <f>'Discounted Summary'!AE13</f>
        <v>611544.10348577041</v>
      </c>
      <c r="AF8" s="118">
        <f>'Discounted Summary'!AF13</f>
        <v>527974.25291083439</v>
      </c>
      <c r="AG8" s="118">
        <f>'Discounted Summary'!AG13</f>
        <v>436232.63343568606</v>
      </c>
      <c r="AH8" s="118">
        <f>'Discounted Summary'!AH13</f>
        <v>349530.63869093056</v>
      </c>
      <c r="AI8" s="118">
        <f>'Discounted Summary'!AI13</f>
        <v>261700.41183659108</v>
      </c>
      <c r="AJ8" s="118">
        <f>'Discounted Summary'!AJ13</f>
        <v>173067.02131861678</v>
      </c>
      <c r="AK8" s="118">
        <f>'Discounted Summary'!AK13</f>
        <v>83931.630125420372</v>
      </c>
      <c r="AL8" s="118">
        <f>'Discounted Summary'!AL13</f>
        <v>0</v>
      </c>
      <c r="AM8" s="118">
        <f>'Discounted Summary'!AM13</f>
        <v>0</v>
      </c>
      <c r="AN8" s="118">
        <f>'Discounted Summary'!AN13</f>
        <v>0</v>
      </c>
      <c r="AO8" s="118">
        <f>'Discounted Summary'!AO13</f>
        <v>0</v>
      </c>
      <c r="AP8" s="118">
        <f>'Discounted Summary'!AP13</f>
        <v>0</v>
      </c>
      <c r="AQ8" s="118">
        <f>'Discounted Summary'!AQ13</f>
        <v>0</v>
      </c>
      <c r="AR8" s="118">
        <f>'Discounted Summary'!AR13</f>
        <v>0</v>
      </c>
      <c r="AS8" s="118">
        <f>'Discounted Summary'!AS13</f>
        <v>0</v>
      </c>
      <c r="AT8" s="118">
        <f>'Discounted Summary'!AT13</f>
        <v>0</v>
      </c>
      <c r="AU8" s="118">
        <f>'Discounted Summary'!AU13</f>
        <v>0</v>
      </c>
      <c r="AV8" s="118">
        <f>'Discounted Summary'!AV13</f>
        <v>0</v>
      </c>
      <c r="AW8" s="118">
        <f>'Discounted Summary'!AW13</f>
        <v>0</v>
      </c>
      <c r="AX8" s="118">
        <f>'Discounted Summary'!AX13</f>
        <v>0</v>
      </c>
      <c r="AY8" s="118">
        <f>'Discounted Summary'!AY13</f>
        <v>0</v>
      </c>
      <c r="AZ8" s="118">
        <f>'Discounted Summary'!AZ13</f>
        <v>0</v>
      </c>
      <c r="BA8" s="118">
        <f>'Discounted Summary'!BA13</f>
        <v>0</v>
      </c>
    </row>
    <row r="9" spans="5:53" s="113" customFormat="1" x14ac:dyDescent="0.3">
      <c r="E9" s="117" t="str">
        <f>'Discounted Summary'!E15</f>
        <v>Operational Time Savings - Maintenance Staff</v>
      </c>
      <c r="F9" s="118">
        <f>'Discounted Summary'!F15</f>
        <v>540545.7222472782</v>
      </c>
      <c r="G9" s="117" t="str">
        <f>'Discounted Summary'!G15</f>
        <v>2025$</v>
      </c>
      <c r="H9" s="117">
        <f>'Discounted Summary'!H15</f>
        <v>0</v>
      </c>
      <c r="I9" s="118">
        <f>'Discounted Summary'!I15</f>
        <v>0</v>
      </c>
      <c r="J9" s="118">
        <f>'Discounted Summary'!J15</f>
        <v>0</v>
      </c>
      <c r="K9" s="118">
        <f>'Discounted Summary'!K15</f>
        <v>0</v>
      </c>
      <c r="L9" s="118">
        <f>'Discounted Summary'!L15</f>
        <v>0</v>
      </c>
      <c r="M9" s="118">
        <f>'Discounted Summary'!M15</f>
        <v>0</v>
      </c>
      <c r="N9" s="118">
        <f>'Discounted Summary'!N15</f>
        <v>0</v>
      </c>
      <c r="O9" s="118">
        <f>'Discounted Summary'!O15</f>
        <v>648.77386142307705</v>
      </c>
      <c r="P9" s="118">
        <f>'Discounted Summary'!P15</f>
        <v>1887.7997907558017</v>
      </c>
      <c r="Q9" s="118">
        <f>'Discounted Summary'!Q15</f>
        <v>1831.0376243994199</v>
      </c>
      <c r="R9" s="118">
        <f>'Discounted Summary'!R15</f>
        <v>1775.9821769150533</v>
      </c>
      <c r="S9" s="118">
        <f>'Discounted Summary'!S15</f>
        <v>7464.5225670532454</v>
      </c>
      <c r="T9" s="118">
        <f>'Discounted Summary'!T15</f>
        <v>12809.372457078614</v>
      </c>
      <c r="U9" s="118">
        <f>'Discounted Summary'!U15</f>
        <v>18906.424155431683</v>
      </c>
      <c r="V9" s="118">
        <f>'Discounted Summary'!V15</f>
        <v>24625.244154227224</v>
      </c>
      <c r="W9" s="118">
        <f>'Discounted Summary'!W15</f>
        <v>30491.253054329267</v>
      </c>
      <c r="X9" s="118">
        <f>'Discounted Summary'!X15</f>
        <v>36475.149143555871</v>
      </c>
      <c r="Y9" s="118">
        <f>'Discounted Summary'!Y15</f>
        <v>42549.719162404283</v>
      </c>
      <c r="Z9" s="118">
        <f>'Discounted Summary'!Z15</f>
        <v>48226.013719526651</v>
      </c>
      <c r="AA9" s="118">
        <f>'Discounted Summary'!AA15</f>
        <v>45385.377539619156</v>
      </c>
      <c r="AB9" s="118">
        <f>'Discounted Summary'!AB15</f>
        <v>43165.963213220588</v>
      </c>
      <c r="AC9" s="118">
        <f>'Discounted Summary'!AC15</f>
        <v>41868.05355307526</v>
      </c>
      <c r="AD9" s="118">
        <f>'Discounted Summary'!AD15</f>
        <v>40609.16930463168</v>
      </c>
      <c r="AE9" s="118">
        <f>'Discounted Summary'!AE15</f>
        <v>35488.321505809829</v>
      </c>
      <c r="AF9" s="118">
        <f>'Discounted Summary'!AF15</f>
        <v>30638.706067624476</v>
      </c>
      <c r="AG9" s="118">
        <f>'Discounted Summary'!AG15</f>
        <v>25314.877305577575</v>
      </c>
      <c r="AH9" s="118">
        <f>'Discounted Summary'!AH15</f>
        <v>20283.501404544932</v>
      </c>
      <c r="AI9" s="118">
        <f>'Discounted Summary'!AI15</f>
        <v>15186.653424540598</v>
      </c>
      <c r="AJ9" s="118">
        <f>'Discounted Summary'!AJ15</f>
        <v>10043.197309236793</v>
      </c>
      <c r="AK9" s="118">
        <f>'Discounted Summary'!AK15</f>
        <v>4870.6097522971841</v>
      </c>
      <c r="AL9" s="118">
        <f>'Discounted Summary'!AL15</f>
        <v>0</v>
      </c>
      <c r="AM9" s="118">
        <f>'Discounted Summary'!AM15</f>
        <v>0</v>
      </c>
      <c r="AN9" s="118">
        <f>'Discounted Summary'!AN15</f>
        <v>0</v>
      </c>
      <c r="AO9" s="118">
        <f>'Discounted Summary'!AO15</f>
        <v>0</v>
      </c>
      <c r="AP9" s="118">
        <f>'Discounted Summary'!AP15</f>
        <v>0</v>
      </c>
      <c r="AQ9" s="118">
        <f>'Discounted Summary'!AQ15</f>
        <v>0</v>
      </c>
      <c r="AR9" s="118">
        <f>'Discounted Summary'!AR15</f>
        <v>0</v>
      </c>
      <c r="AS9" s="118">
        <f>'Discounted Summary'!AS15</f>
        <v>0</v>
      </c>
      <c r="AT9" s="118">
        <f>'Discounted Summary'!AT15</f>
        <v>0</v>
      </c>
      <c r="AU9" s="118">
        <f>'Discounted Summary'!AU15</f>
        <v>0</v>
      </c>
      <c r="AV9" s="118">
        <f>'Discounted Summary'!AV15</f>
        <v>0</v>
      </c>
      <c r="AW9" s="118">
        <f>'Discounted Summary'!AW15</f>
        <v>0</v>
      </c>
      <c r="AX9" s="118">
        <f>'Discounted Summary'!AX15</f>
        <v>0</v>
      </c>
      <c r="AY9" s="118">
        <f>'Discounted Summary'!AY15</f>
        <v>0</v>
      </c>
      <c r="AZ9" s="118">
        <f>'Discounted Summary'!AZ15</f>
        <v>0</v>
      </c>
      <c r="BA9" s="118">
        <f>'Discounted Summary'!BA15</f>
        <v>0</v>
      </c>
    </row>
    <row r="10" spans="5:53" s="113" customFormat="1" x14ac:dyDescent="0.3">
      <c r="E10" s="117" t="e">
        <f>'Discounted Summary'!#REF!</f>
        <v>#REF!</v>
      </c>
      <c r="F10" s="118" t="e">
        <f>'Discounted Summary'!#REF!</f>
        <v>#REF!</v>
      </c>
      <c r="G10" s="117" t="e">
        <f>'Discounted Summary'!#REF!</f>
        <v>#REF!</v>
      </c>
      <c r="H10" s="117" t="e">
        <f>'Discounted Summary'!#REF!</f>
        <v>#REF!</v>
      </c>
      <c r="I10" s="118" t="e">
        <f>'Discounted Summary'!#REF!</f>
        <v>#REF!</v>
      </c>
      <c r="J10" s="118" t="e">
        <f>'Discounted Summary'!#REF!</f>
        <v>#REF!</v>
      </c>
      <c r="K10" s="118" t="e">
        <f>'Discounted Summary'!#REF!</f>
        <v>#REF!</v>
      </c>
      <c r="L10" s="118" t="e">
        <f>'Discounted Summary'!#REF!</f>
        <v>#REF!</v>
      </c>
      <c r="M10" s="118" t="e">
        <f>'Discounted Summary'!#REF!</f>
        <v>#REF!</v>
      </c>
      <c r="N10" s="118" t="e">
        <f>'Discounted Summary'!#REF!</f>
        <v>#REF!</v>
      </c>
      <c r="O10" s="118" t="e">
        <f>'Discounted Summary'!#REF!</f>
        <v>#REF!</v>
      </c>
      <c r="P10" s="118" t="e">
        <f>'Discounted Summary'!#REF!</f>
        <v>#REF!</v>
      </c>
      <c r="Q10" s="118" t="e">
        <f>'Discounted Summary'!#REF!</f>
        <v>#REF!</v>
      </c>
      <c r="R10" s="118" t="e">
        <f>'Discounted Summary'!#REF!</f>
        <v>#REF!</v>
      </c>
      <c r="S10" s="118" t="e">
        <f>'Discounted Summary'!#REF!</f>
        <v>#REF!</v>
      </c>
      <c r="T10" s="118" t="e">
        <f>'Discounted Summary'!#REF!</f>
        <v>#REF!</v>
      </c>
      <c r="U10" s="118" t="e">
        <f>'Discounted Summary'!#REF!</f>
        <v>#REF!</v>
      </c>
      <c r="V10" s="118" t="e">
        <f>'Discounted Summary'!#REF!</f>
        <v>#REF!</v>
      </c>
      <c r="W10" s="118" t="e">
        <f>'Discounted Summary'!#REF!</f>
        <v>#REF!</v>
      </c>
      <c r="X10" s="118" t="e">
        <f>'Discounted Summary'!#REF!</f>
        <v>#REF!</v>
      </c>
      <c r="Y10" s="118" t="e">
        <f>'Discounted Summary'!#REF!</f>
        <v>#REF!</v>
      </c>
      <c r="Z10" s="118" t="e">
        <f>'Discounted Summary'!#REF!</f>
        <v>#REF!</v>
      </c>
      <c r="AA10" s="118" t="e">
        <f>'Discounted Summary'!#REF!</f>
        <v>#REF!</v>
      </c>
      <c r="AB10" s="118" t="e">
        <f>'Discounted Summary'!#REF!</f>
        <v>#REF!</v>
      </c>
      <c r="AC10" s="118" t="e">
        <f>'Discounted Summary'!#REF!</f>
        <v>#REF!</v>
      </c>
      <c r="AD10" s="118" t="e">
        <f>'Discounted Summary'!#REF!</f>
        <v>#REF!</v>
      </c>
      <c r="AE10" s="118" t="e">
        <f>'Discounted Summary'!#REF!</f>
        <v>#REF!</v>
      </c>
      <c r="AF10" s="118" t="e">
        <f>'Discounted Summary'!#REF!</f>
        <v>#REF!</v>
      </c>
      <c r="AG10" s="118" t="e">
        <f>'Discounted Summary'!#REF!</f>
        <v>#REF!</v>
      </c>
      <c r="AH10" s="118" t="e">
        <f>'Discounted Summary'!#REF!</f>
        <v>#REF!</v>
      </c>
      <c r="AI10" s="118" t="e">
        <f>'Discounted Summary'!#REF!</f>
        <v>#REF!</v>
      </c>
      <c r="AJ10" s="118" t="e">
        <f>'Discounted Summary'!#REF!</f>
        <v>#REF!</v>
      </c>
      <c r="AK10" s="118" t="e">
        <f>'Discounted Summary'!#REF!</f>
        <v>#REF!</v>
      </c>
      <c r="AL10" s="118" t="e">
        <f>'Discounted Summary'!#REF!</f>
        <v>#REF!</v>
      </c>
      <c r="AM10" s="118" t="e">
        <f>'Discounted Summary'!#REF!</f>
        <v>#REF!</v>
      </c>
      <c r="AN10" s="118" t="e">
        <f>'Discounted Summary'!#REF!</f>
        <v>#REF!</v>
      </c>
      <c r="AO10" s="118" t="e">
        <f>'Discounted Summary'!#REF!</f>
        <v>#REF!</v>
      </c>
      <c r="AP10" s="118" t="e">
        <f>'Discounted Summary'!#REF!</f>
        <v>#REF!</v>
      </c>
      <c r="AQ10" s="118" t="e">
        <f>'Discounted Summary'!#REF!</f>
        <v>#REF!</v>
      </c>
      <c r="AR10" s="118" t="e">
        <f>'Discounted Summary'!#REF!</f>
        <v>#REF!</v>
      </c>
      <c r="AS10" s="118" t="e">
        <f>'Discounted Summary'!#REF!</f>
        <v>#REF!</v>
      </c>
      <c r="AT10" s="118" t="e">
        <f>'Discounted Summary'!#REF!</f>
        <v>#REF!</v>
      </c>
      <c r="AU10" s="118" t="e">
        <f>'Discounted Summary'!#REF!</f>
        <v>#REF!</v>
      </c>
      <c r="AV10" s="118" t="e">
        <f>'Discounted Summary'!#REF!</f>
        <v>#REF!</v>
      </c>
      <c r="AW10" s="118" t="e">
        <f>'Discounted Summary'!#REF!</f>
        <v>#REF!</v>
      </c>
      <c r="AX10" s="118" t="e">
        <f>'Discounted Summary'!#REF!</f>
        <v>#REF!</v>
      </c>
      <c r="AY10" s="118" t="e">
        <f>'Discounted Summary'!#REF!</f>
        <v>#REF!</v>
      </c>
      <c r="AZ10" s="118" t="e">
        <f>'Discounted Summary'!#REF!</f>
        <v>#REF!</v>
      </c>
      <c r="BA10" s="118" t="e">
        <f>'Discounted Summary'!#REF!</f>
        <v>#REF!</v>
      </c>
    </row>
    <row r="11" spans="5:53" s="113" customFormat="1" x14ac:dyDescent="0.3">
      <c r="E11" s="117" t="str">
        <f>'Discounted Summary'!E16</f>
        <v>Safety Benefits</v>
      </c>
      <c r="F11" s="118">
        <f>'Discounted Summary'!F16</f>
        <v>136617779.02212283</v>
      </c>
      <c r="G11" s="117" t="str">
        <f>'Discounted Summary'!G16</f>
        <v>2025$</v>
      </c>
      <c r="H11" s="117">
        <f>'Discounted Summary'!H16</f>
        <v>0</v>
      </c>
      <c r="I11" s="118">
        <f>'Discounted Summary'!I16</f>
        <v>0</v>
      </c>
      <c r="J11" s="118">
        <f>'Discounted Summary'!J16</f>
        <v>0</v>
      </c>
      <c r="K11" s="118">
        <f>'Discounted Summary'!K16</f>
        <v>0</v>
      </c>
      <c r="L11" s="118">
        <f>'Discounted Summary'!L16</f>
        <v>0</v>
      </c>
      <c r="M11" s="118">
        <f>'Discounted Summary'!M16</f>
        <v>0</v>
      </c>
      <c r="N11" s="118">
        <f>'Discounted Summary'!N16</f>
        <v>0</v>
      </c>
      <c r="O11" s="118">
        <f>'Discounted Summary'!O16</f>
        <v>193735.45711059339</v>
      </c>
      <c r="P11" s="118">
        <f>'Discounted Summary'!P16</f>
        <v>483730.72828875028</v>
      </c>
      <c r="Q11" s="118">
        <f>'Discounted Summary'!Q16</f>
        <v>471332.56703126209</v>
      </c>
      <c r="R11" s="118">
        <f>'Discounted Summary'!R16</f>
        <v>459253.05883406324</v>
      </c>
      <c r="S11" s="118">
        <f>'Discounted Summary'!S16</f>
        <v>1814084.0957733032</v>
      </c>
      <c r="T11" s="118">
        <f>'Discounted Summary'!T16</f>
        <v>3100291.0816366207</v>
      </c>
      <c r="U11" s="118">
        <f>'Discounted Summary'!U16</f>
        <v>4580182.0715894001</v>
      </c>
      <c r="V11" s="118">
        <f>'Discounted Summary'!V16</f>
        <v>5983461.7812437685</v>
      </c>
      <c r="W11" s="118">
        <f>'Discounted Summary'!W16</f>
        <v>7436440.5004005404</v>
      </c>
      <c r="X11" s="118">
        <f>'Discounted Summary'!X16</f>
        <v>8932607.518646935</v>
      </c>
      <c r="Y11" s="118">
        <f>'Discounted Summary'!Y16</f>
        <v>10465827.366429467</v>
      </c>
      <c r="Z11" s="118">
        <f>'Discounted Summary'!Z16</f>
        <v>11916037.000012601</v>
      </c>
      <c r="AA11" s="118">
        <f>'Discounted Summary'!AA16</f>
        <v>11503984.738443166</v>
      </c>
      <c r="AB11" s="118">
        <f>'Discounted Summary'!AB16</f>
        <v>10996542.987970591</v>
      </c>
      <c r="AC11" s="118">
        <f>'Discounted Summary'!AC16</f>
        <v>10719091.400904987</v>
      </c>
      <c r="AD11" s="118">
        <f>'Discounted Summary'!AD16</f>
        <v>10448640.808013937</v>
      </c>
      <c r="AE11" s="118">
        <f>'Discounted Summary'!AE16</f>
        <v>9179171.5071736071</v>
      </c>
      <c r="AF11" s="118">
        <f>'Discounted Summary'!AF16</f>
        <v>7967085.4754466657</v>
      </c>
      <c r="AG11" s="118">
        <f>'Discounted Summary'!AG16</f>
        <v>6619145.5095055075</v>
      </c>
      <c r="AH11" s="118">
        <f>'Discounted Summary'!AH16</f>
        <v>5334124.7269851211</v>
      </c>
      <c r="AI11" s="118">
        <f>'Discounted Summary'!AI16</f>
        <v>4018891.4621064123</v>
      </c>
      <c r="AJ11" s="118">
        <f>'Discounted Summary'!AJ16</f>
        <v>2678076.935138097</v>
      </c>
      <c r="AK11" s="118">
        <f>'Discounted Summary'!AK16</f>
        <v>1316040.2434374103</v>
      </c>
      <c r="AL11" s="118">
        <f>'Discounted Summary'!AL16</f>
        <v>0</v>
      </c>
      <c r="AM11" s="118">
        <f>'Discounted Summary'!AM16</f>
        <v>0</v>
      </c>
      <c r="AN11" s="118">
        <f>'Discounted Summary'!AN16</f>
        <v>0</v>
      </c>
      <c r="AO11" s="118">
        <f>'Discounted Summary'!AO16</f>
        <v>0</v>
      </c>
      <c r="AP11" s="118">
        <f>'Discounted Summary'!AP16</f>
        <v>0</v>
      </c>
      <c r="AQ11" s="118">
        <f>'Discounted Summary'!AQ16</f>
        <v>0</v>
      </c>
      <c r="AR11" s="118">
        <f>'Discounted Summary'!AR16</f>
        <v>0</v>
      </c>
      <c r="AS11" s="118">
        <f>'Discounted Summary'!AS16</f>
        <v>0</v>
      </c>
      <c r="AT11" s="118">
        <f>'Discounted Summary'!AT16</f>
        <v>0</v>
      </c>
      <c r="AU11" s="118">
        <f>'Discounted Summary'!AU16</f>
        <v>0</v>
      </c>
      <c r="AV11" s="118">
        <f>'Discounted Summary'!AV16</f>
        <v>0</v>
      </c>
      <c r="AW11" s="118">
        <f>'Discounted Summary'!AW16</f>
        <v>0</v>
      </c>
      <c r="AX11" s="118">
        <f>'Discounted Summary'!AX16</f>
        <v>0</v>
      </c>
      <c r="AY11" s="118">
        <f>'Discounted Summary'!AY16</f>
        <v>0</v>
      </c>
      <c r="AZ11" s="118">
        <f>'Discounted Summary'!AZ16</f>
        <v>0</v>
      </c>
      <c r="BA11" s="118">
        <f>'Discounted Summary'!BA16</f>
        <v>0</v>
      </c>
    </row>
    <row r="12" spans="5:53" s="113" customFormat="1" x14ac:dyDescent="0.3">
      <c r="E12" s="117" t="str">
        <f>'Discounted Summary'!E17</f>
        <v>Liability and Casualty Cost Savings</v>
      </c>
      <c r="F12" s="118">
        <f>'Discounted Summary'!F17</f>
        <v>3741888.5741062108</v>
      </c>
      <c r="G12" s="117" t="str">
        <f>'Discounted Summary'!G17</f>
        <v>2025$</v>
      </c>
      <c r="H12" s="117">
        <f>'Discounted Summary'!H17</f>
        <v>0</v>
      </c>
      <c r="I12" s="118">
        <f>'Discounted Summary'!I17</f>
        <v>0</v>
      </c>
      <c r="J12" s="118">
        <f>'Discounted Summary'!J17</f>
        <v>0</v>
      </c>
      <c r="K12" s="118">
        <f>'Discounted Summary'!K17</f>
        <v>0</v>
      </c>
      <c r="L12" s="118">
        <f>'Discounted Summary'!L17</f>
        <v>0</v>
      </c>
      <c r="M12" s="118">
        <f>'Discounted Summary'!M17</f>
        <v>0</v>
      </c>
      <c r="N12" s="118">
        <f>'Discounted Summary'!N17</f>
        <v>0</v>
      </c>
      <c r="O12" s="118">
        <f>'Discounted Summary'!O17</f>
        <v>12079.082071589191</v>
      </c>
      <c r="P12" s="118">
        <f>'Discounted Summary'!P17</f>
        <v>35147.668491530145</v>
      </c>
      <c r="Q12" s="118">
        <f>'Discounted Summary'!Q17</f>
        <v>34090.852077138843</v>
      </c>
      <c r="R12" s="118">
        <f>'Discounted Summary'!R17</f>
        <v>33065.811907991119</v>
      </c>
      <c r="S12" s="118">
        <f>'Discounted Summary'!S17</f>
        <v>138976.9010035191</v>
      </c>
      <c r="T12" s="118">
        <f>'Discounted Summary'!T17</f>
        <v>238489.04895030512</v>
      </c>
      <c r="U12" s="118">
        <f>'Discounted Summary'!U17</f>
        <v>352005.93401343899</v>
      </c>
      <c r="V12" s="118">
        <f>'Discounted Summary'!V17</f>
        <v>341421.85646308342</v>
      </c>
      <c r="W12" s="118">
        <f>'Discounted Summary'!W17</f>
        <v>331156.0198478016</v>
      </c>
      <c r="X12" s="118">
        <f>'Discounted Summary'!X17</f>
        <v>321198.85533249431</v>
      </c>
      <c r="Y12" s="118">
        <f>'Discounted Summary'!Y17</f>
        <v>311541.08179679373</v>
      </c>
      <c r="Z12" s="118">
        <f>'Discounted Summary'!Z17</f>
        <v>302173.69718408707</v>
      </c>
      <c r="AA12" s="118">
        <f>'Discounted Summary'!AA17</f>
        <v>284714.02810749516</v>
      </c>
      <c r="AB12" s="118">
        <f>'Discounted Summary'!AB17</f>
        <v>259908.96615050614</v>
      </c>
      <c r="AC12" s="118">
        <f>'Discounted Summary'!AC17</f>
        <v>252094.05058245023</v>
      </c>
      <c r="AD12" s="118">
        <f>'Discounted Summary'!AD17</f>
        <v>244514.11307706137</v>
      </c>
      <c r="AE12" s="118">
        <f>'Discounted Summary'!AE17</f>
        <v>163048.93573276399</v>
      </c>
      <c r="AF12" s="118">
        <f>'Discounted Summary'!AF17</f>
        <v>86261.67131616117</v>
      </c>
      <c r="AG12" s="118">
        <f>'Discounted Summary'!AG17</f>
        <v>0</v>
      </c>
      <c r="AH12" s="118">
        <f>'Discounted Summary'!AH17</f>
        <v>0</v>
      </c>
      <c r="AI12" s="118">
        <f>'Discounted Summary'!AI17</f>
        <v>0</v>
      </c>
      <c r="AJ12" s="118">
        <f>'Discounted Summary'!AJ17</f>
        <v>0</v>
      </c>
      <c r="AK12" s="118">
        <f>'Discounted Summary'!AK17</f>
        <v>0</v>
      </c>
      <c r="AL12" s="118">
        <f>'Discounted Summary'!AL17</f>
        <v>0</v>
      </c>
      <c r="AM12" s="118">
        <f>'Discounted Summary'!AM17</f>
        <v>0</v>
      </c>
      <c r="AN12" s="118">
        <f>'Discounted Summary'!AN17</f>
        <v>0</v>
      </c>
      <c r="AO12" s="118">
        <f>'Discounted Summary'!AO17</f>
        <v>0</v>
      </c>
      <c r="AP12" s="118">
        <f>'Discounted Summary'!AP17</f>
        <v>0</v>
      </c>
      <c r="AQ12" s="118">
        <f>'Discounted Summary'!AQ17</f>
        <v>0</v>
      </c>
      <c r="AR12" s="118">
        <f>'Discounted Summary'!AR17</f>
        <v>0</v>
      </c>
      <c r="AS12" s="118">
        <f>'Discounted Summary'!AS17</f>
        <v>0</v>
      </c>
      <c r="AT12" s="118">
        <f>'Discounted Summary'!AT17</f>
        <v>0</v>
      </c>
      <c r="AU12" s="118">
        <f>'Discounted Summary'!AU17</f>
        <v>0</v>
      </c>
      <c r="AV12" s="118">
        <f>'Discounted Summary'!AV17</f>
        <v>0</v>
      </c>
      <c r="AW12" s="118">
        <f>'Discounted Summary'!AW17</f>
        <v>0</v>
      </c>
      <c r="AX12" s="118">
        <f>'Discounted Summary'!AX17</f>
        <v>0</v>
      </c>
      <c r="AY12" s="118">
        <f>'Discounted Summary'!AY17</f>
        <v>0</v>
      </c>
      <c r="AZ12" s="118">
        <f>'Discounted Summary'!AZ17</f>
        <v>0</v>
      </c>
      <c r="BA12" s="118">
        <f>'Discounted Summary'!BA17</f>
        <v>0</v>
      </c>
    </row>
    <row r="14" spans="5:53" s="113" customFormat="1" x14ac:dyDescent="0.3">
      <c r="E14" s="118" t="str">
        <f>'Discounted Summary'!E$32</f>
        <v>TOTAL  BENEFITS</v>
      </c>
      <c r="F14" s="118">
        <f>'Discounted Summary'!F$32</f>
        <v>164414208.80519938</v>
      </c>
      <c r="G14" s="118" t="str">
        <f>'Discounted Summary'!G$32</f>
        <v>2025$ in 2025</v>
      </c>
      <c r="H14" s="118">
        <f>'Discounted Summary'!H$32</f>
        <v>0</v>
      </c>
      <c r="I14" s="118">
        <f>'Discounted Summary'!I$32</f>
        <v>0</v>
      </c>
      <c r="J14" s="118">
        <f>'Discounted Summary'!J$32</f>
        <v>0</v>
      </c>
      <c r="K14" s="118">
        <f>'Discounted Summary'!K$32</f>
        <v>0</v>
      </c>
      <c r="L14" s="118">
        <f>'Discounted Summary'!L$32</f>
        <v>0</v>
      </c>
      <c r="M14" s="118">
        <f>'Discounted Summary'!M$32</f>
        <v>0</v>
      </c>
      <c r="N14" s="118">
        <f>'Discounted Summary'!N$32</f>
        <v>0</v>
      </c>
      <c r="O14" s="118">
        <f>'Discounted Summary'!O$32</f>
        <v>286568.27403097547</v>
      </c>
      <c r="P14" s="118">
        <f>'Discounted Summary'!P$32</f>
        <v>697703.60083316104</v>
      </c>
      <c r="Q14" s="118">
        <f>'Discounted Summary'!Q$32</f>
        <v>569945.02154047741</v>
      </c>
      <c r="R14" s="118">
        <f>'Discounted Summary'!R$32</f>
        <v>554900.44439101312</v>
      </c>
      <c r="S14" s="118">
        <f>'Discounted Summary'!S$32</f>
        <v>2728467.7437109007</v>
      </c>
      <c r="T14" s="118">
        <f>'Discounted Summary'!T$32</f>
        <v>4287121.2283182293</v>
      </c>
      <c r="U14" s="118">
        <f>'Discounted Summary'!U$32</f>
        <v>6176837.5933911698</v>
      </c>
      <c r="V14" s="118">
        <f>'Discounted Summary'!V$32</f>
        <v>7753659.2603077805</v>
      </c>
      <c r="W14" s="118">
        <f>'Discounted Summary'!W$32</f>
        <v>9431555.1243791133</v>
      </c>
      <c r="X14" s="118">
        <f>'Discounted Summary'!X$32</f>
        <v>11154882.256791571</v>
      </c>
      <c r="Y14" s="118">
        <f>'Discounted Summary'!Y$32</f>
        <v>12916644.715177035</v>
      </c>
      <c r="Z14" s="118">
        <f>'Discounted Summary'!Z$32</f>
        <v>14538265.602450738</v>
      </c>
      <c r="AA14" s="118">
        <f>'Discounted Summary'!AA$32</f>
        <v>13420187.557512682</v>
      </c>
      <c r="AB14" s="118">
        <f>'Discounted Summary'!AB$32</f>
        <v>12808158.44972028</v>
      </c>
      <c r="AC14" s="118">
        <f>'Discounted Summary'!AC$32</f>
        <v>12476235.398722339</v>
      </c>
      <c r="AD14" s="118">
        <f>'Discounted Summary'!AD$32</f>
        <v>12152951.184170436</v>
      </c>
      <c r="AE14" s="118">
        <f>'Discounted Summary'!AE$32</f>
        <v>10617935.263086999</v>
      </c>
      <c r="AF14" s="118">
        <f>'Discounted Summary'!AF$32</f>
        <v>9154730.636968974</v>
      </c>
      <c r="AG14" s="118">
        <f>'Discounted Summary'!AG$32</f>
        <v>7529150.9078868479</v>
      </c>
      <c r="AH14" s="118">
        <f>'Discounted Summary'!AH$32</f>
        <v>6063264.9694363279</v>
      </c>
      <c r="AI14" s="118">
        <f>'Discounted Summary'!AI$32</f>
        <v>4564812.9940521149</v>
      </c>
      <c r="AJ14" s="118">
        <f>'Discounted Summary'!AJ$32</f>
        <v>3039104.3127584807</v>
      </c>
      <c r="AK14" s="118">
        <f>'Discounted Summary'!AK$32</f>
        <v>1491126.2655617476</v>
      </c>
      <c r="AL14" s="118">
        <f>'Discounted Summary'!AL$32</f>
        <v>0</v>
      </c>
      <c r="AM14" s="118">
        <f>'Discounted Summary'!AM$32</f>
        <v>0</v>
      </c>
      <c r="AN14" s="118">
        <f>'Discounted Summary'!AN$32</f>
        <v>0</v>
      </c>
      <c r="AO14" s="118">
        <f>'Discounted Summary'!AO$32</f>
        <v>0</v>
      </c>
      <c r="AP14" s="118">
        <f>'Discounted Summary'!AP$32</f>
        <v>0</v>
      </c>
      <c r="AQ14" s="118">
        <f>'Discounted Summary'!AQ$32</f>
        <v>0</v>
      </c>
      <c r="AR14" s="118">
        <f>'Discounted Summary'!AR$32</f>
        <v>0</v>
      </c>
      <c r="AS14" s="118">
        <f>'Discounted Summary'!AS$32</f>
        <v>0</v>
      </c>
      <c r="AT14" s="118">
        <f>'Discounted Summary'!AT$32</f>
        <v>0</v>
      </c>
      <c r="AU14" s="118">
        <f>'Discounted Summary'!AU$32</f>
        <v>0</v>
      </c>
      <c r="AV14" s="118">
        <f>'Discounted Summary'!AV$32</f>
        <v>0</v>
      </c>
      <c r="AW14" s="118">
        <f>'Discounted Summary'!AW$32</f>
        <v>0</v>
      </c>
      <c r="AX14" s="118">
        <f>'Discounted Summary'!AX$32</f>
        <v>0</v>
      </c>
      <c r="AY14" s="118">
        <f>'Discounted Summary'!AY$32</f>
        <v>0</v>
      </c>
      <c r="AZ14" s="118">
        <f>'Discounted Summary'!AZ$32</f>
        <v>0</v>
      </c>
      <c r="BA14" s="118">
        <f>'Discounted Summary'!BA$32</f>
        <v>0</v>
      </c>
    </row>
    <row r="15" spans="5:53" s="113" customFormat="1" x14ac:dyDescent="0.3">
      <c r="E15" s="118" t="str">
        <f>'Discounted Summary'!E$33</f>
        <v>CUMULATIVE  BENEFITS</v>
      </c>
      <c r="F15" s="118">
        <f>'Discounted Summary'!F$33</f>
        <v>0</v>
      </c>
      <c r="G15" s="118">
        <f>'Discounted Summary'!G$33</f>
        <v>0</v>
      </c>
      <c r="H15" s="118">
        <f>'Discounted Summary'!H$33</f>
        <v>0</v>
      </c>
      <c r="I15" s="118">
        <f>'Discounted Summary'!I$33</f>
        <v>0</v>
      </c>
      <c r="J15" s="118">
        <f>'Discounted Summary'!J$33</f>
        <v>0</v>
      </c>
      <c r="K15" s="118">
        <f>'Discounted Summary'!K$33</f>
        <v>0</v>
      </c>
      <c r="L15" s="118">
        <f>'Discounted Summary'!L$33</f>
        <v>0</v>
      </c>
      <c r="M15" s="118">
        <f>'Discounted Summary'!M$33</f>
        <v>0</v>
      </c>
      <c r="N15" s="118">
        <f>'Discounted Summary'!N$33</f>
        <v>0</v>
      </c>
      <c r="O15" s="118">
        <f>'Discounted Summary'!O$33</f>
        <v>286568.27403097553</v>
      </c>
      <c r="P15" s="118">
        <f>'Discounted Summary'!P$33</f>
        <v>984271.87486413657</v>
      </c>
      <c r="Q15" s="118">
        <f>'Discounted Summary'!Q$33</f>
        <v>1554216.896404614</v>
      </c>
      <c r="R15" s="118">
        <f>'Discounted Summary'!R$33</f>
        <v>2109117.3407956269</v>
      </c>
      <c r="S15" s="118">
        <f>'Discounted Summary'!S$33</f>
        <v>4837585.0845065275</v>
      </c>
      <c r="T15" s="118">
        <f>'Discounted Summary'!T$33</f>
        <v>9124706.3128247559</v>
      </c>
      <c r="U15" s="118">
        <f>'Discounted Summary'!U$33</f>
        <v>15301543.906215925</v>
      </c>
      <c r="V15" s="118">
        <f>'Discounted Summary'!V$33</f>
        <v>23055203.166523706</v>
      </c>
      <c r="W15" s="118">
        <f>'Discounted Summary'!W$33</f>
        <v>32486758.290902816</v>
      </c>
      <c r="X15" s="118">
        <f>'Discounted Summary'!X$33</f>
        <v>43641640.547694385</v>
      </c>
      <c r="Y15" s="118">
        <f>'Discounted Summary'!Y$33</f>
        <v>56558285.262871422</v>
      </c>
      <c r="Z15" s="118">
        <f>'Discounted Summary'!Z$33</f>
        <v>71096550.865322158</v>
      </c>
      <c r="AA15" s="118">
        <f>'Discounted Summary'!AA$33</f>
        <v>84516738.422834843</v>
      </c>
      <c r="AB15" s="118">
        <f>'Discounted Summary'!AB$33</f>
        <v>97324896.872555122</v>
      </c>
      <c r="AC15" s="118">
        <f>'Discounted Summary'!AC$33</f>
        <v>109801132.27127746</v>
      </c>
      <c r="AD15" s="118">
        <f>'Discounted Summary'!AD$33</f>
        <v>121954083.4554479</v>
      </c>
      <c r="AE15" s="118">
        <f>'Discounted Summary'!AE$33</f>
        <v>132572018.7185349</v>
      </c>
      <c r="AF15" s="118">
        <f>'Discounted Summary'!AF$33</f>
        <v>141726749.35550389</v>
      </c>
      <c r="AG15" s="118">
        <f>'Discounted Summary'!AG$33</f>
        <v>149255900.26339072</v>
      </c>
      <c r="AH15" s="118">
        <f>'Discounted Summary'!AH$33</f>
        <v>155319165.23282704</v>
      </c>
      <c r="AI15" s="118">
        <f>'Discounted Summary'!AI$33</f>
        <v>159883978.22687915</v>
      </c>
      <c r="AJ15" s="118">
        <f>'Discounted Summary'!AJ$33</f>
        <v>162923082.53963763</v>
      </c>
      <c r="AK15" s="118">
        <f>'Discounted Summary'!AK$33</f>
        <v>164414208.80519938</v>
      </c>
      <c r="AL15" s="118">
        <f>'Discounted Summary'!AL$33</f>
        <v>164414208.80519938</v>
      </c>
      <c r="AM15" s="118">
        <f>'Discounted Summary'!AM$33</f>
        <v>164414208.80519938</v>
      </c>
      <c r="AN15" s="118">
        <f>'Discounted Summary'!AN$33</f>
        <v>164414208.80519938</v>
      </c>
      <c r="AO15" s="118">
        <f>'Discounted Summary'!AO$33</f>
        <v>164414208.80519938</v>
      </c>
      <c r="AP15" s="118">
        <f>'Discounted Summary'!AP$33</f>
        <v>164414208.80519938</v>
      </c>
      <c r="AQ15" s="118">
        <f>'Discounted Summary'!AQ$33</f>
        <v>164414208.80519938</v>
      </c>
      <c r="AR15" s="118">
        <f>'Discounted Summary'!AR$33</f>
        <v>164414208.80519938</v>
      </c>
      <c r="AS15" s="118">
        <f>'Discounted Summary'!AS$33</f>
        <v>164414208.80519938</v>
      </c>
      <c r="AT15" s="118">
        <f>'Discounted Summary'!AT$33</f>
        <v>164414208.80519938</v>
      </c>
      <c r="AU15" s="118">
        <f>'Discounted Summary'!AU$33</f>
        <v>164414208.80519938</v>
      </c>
      <c r="AV15" s="118">
        <f>'Discounted Summary'!AV$33</f>
        <v>164414208.80519938</v>
      </c>
      <c r="AW15" s="118">
        <f>'Discounted Summary'!AW$33</f>
        <v>164414208.80519938</v>
      </c>
      <c r="AX15" s="118">
        <f>'Discounted Summary'!AX$33</f>
        <v>164414208.80519938</v>
      </c>
      <c r="AY15" s="118">
        <f>'Discounted Summary'!AY$33</f>
        <v>164414208.80519938</v>
      </c>
      <c r="AZ15" s="118">
        <f>'Discounted Summary'!AZ$33</f>
        <v>164414208.80519938</v>
      </c>
      <c r="BA15" s="118">
        <f>'Discounted Summary'!BA$33</f>
        <v>164414208.80519938</v>
      </c>
    </row>
    <row r="16" spans="5:53" s="113" customFormat="1" x14ac:dyDescent="0.3">
      <c r="E16" s="118"/>
      <c r="F16" s="118"/>
      <c r="G16" s="118"/>
      <c r="H16" s="118"/>
      <c r="I16" s="118"/>
      <c r="J16" s="118"/>
      <c r="K16" s="118"/>
      <c r="L16" s="118"/>
      <c r="M16" s="118"/>
      <c r="N16" s="118"/>
      <c r="O16" s="118"/>
      <c r="P16" s="118"/>
      <c r="Q16" s="118"/>
      <c r="R16" s="118"/>
      <c r="S16" s="118"/>
      <c r="T16" s="118"/>
      <c r="U16" s="118"/>
      <c r="V16" s="118"/>
      <c r="W16" s="118"/>
      <c r="X16" s="118"/>
      <c r="Y16" s="118"/>
      <c r="Z16" s="118"/>
      <c r="AA16" s="118"/>
      <c r="AB16" s="118"/>
      <c r="AC16" s="118"/>
      <c r="AD16" s="118"/>
      <c r="AE16" s="118"/>
      <c r="AF16" s="118"/>
      <c r="AG16" s="118"/>
      <c r="AH16" s="118"/>
      <c r="AI16" s="118"/>
      <c r="AJ16" s="118"/>
      <c r="AK16" s="118"/>
      <c r="AL16" s="118"/>
      <c r="AM16" s="118"/>
      <c r="AN16" s="118"/>
      <c r="AO16" s="118"/>
      <c r="AP16" s="118"/>
      <c r="AQ16" s="118"/>
      <c r="AR16" s="118"/>
      <c r="AS16" s="118"/>
      <c r="AT16" s="118"/>
      <c r="AU16" s="118"/>
      <c r="AV16" s="118"/>
      <c r="AW16" s="118"/>
      <c r="AX16" s="118"/>
      <c r="AY16" s="118"/>
      <c r="AZ16" s="118"/>
      <c r="BA16" s="118"/>
    </row>
    <row r="17" spans="4:53" s="113" customFormat="1" x14ac:dyDescent="0.3">
      <c r="E17" s="118" t="str">
        <f>'Discounted Summary'!E38</f>
        <v>Capital Costs</v>
      </c>
      <c r="F17" s="118">
        <f>'Discounted Summary'!F38</f>
        <v>22319871.604612954</v>
      </c>
      <c r="G17" s="118" t="str">
        <f>'Discounted Summary'!G38</f>
        <v>2025$ in 2025</v>
      </c>
      <c r="H17" s="118">
        <f>'Discounted Summary'!H38</f>
        <v>0</v>
      </c>
      <c r="I17" s="118">
        <f>'Discounted Summary'!I38</f>
        <v>0</v>
      </c>
      <c r="J17" s="118">
        <f>'Discounted Summary'!J38</f>
        <v>0</v>
      </c>
      <c r="K17" s="118">
        <f>'Discounted Summary'!K38</f>
        <v>0</v>
      </c>
      <c r="L17" s="118">
        <f>'Discounted Summary'!L38</f>
        <v>0</v>
      </c>
      <c r="M17" s="118">
        <f>'Discounted Summary'!M38</f>
        <v>0</v>
      </c>
      <c r="N17" s="118">
        <f>'Discounted Summary'!N38</f>
        <v>277068.5969624999</v>
      </c>
      <c r="O17" s="118">
        <f>'Discounted Summary'!O38</f>
        <v>2766009.8176889997</v>
      </c>
      <c r="P17" s="118">
        <f>'Discounted Summary'!P38</f>
        <v>108898.71968962175</v>
      </c>
      <c r="Q17" s="118">
        <f>'Discounted Summary'!Q38</f>
        <v>104263.86424337301</v>
      </c>
      <c r="R17" s="118">
        <f>'Discounted Summary'!R38</f>
        <v>2023582.7127365328</v>
      </c>
      <c r="S17" s="118">
        <f>'Discounted Summary'!S38</f>
        <v>1952337.0441165445</v>
      </c>
      <c r="T17" s="118">
        <f>'Discounted Summary'!T38</f>
        <v>2167579.0281806234</v>
      </c>
      <c r="U17" s="118">
        <f>'Discounted Summary'!U38</f>
        <v>2119344.2261409452</v>
      </c>
      <c r="V17" s="118">
        <f>'Discounted Summary'!V38</f>
        <v>2184774.7420778982</v>
      </c>
      <c r="W17" s="118">
        <f>'Discounted Summary'!W38</f>
        <v>2242351.9818535871</v>
      </c>
      <c r="X17" s="118">
        <f>'Discounted Summary'!X38</f>
        <v>2291397.1256043478</v>
      </c>
      <c r="Y17" s="118">
        <f>'Discounted Summary'!Y38</f>
        <v>2201297.9376657978</v>
      </c>
      <c r="Z17" s="118">
        <f>'Discounted Summary'!Z38</f>
        <v>210355.58258780366</v>
      </c>
      <c r="AA17" s="118">
        <f>'Discounted Summary'!AA38</f>
        <v>185059.88465410777</v>
      </c>
      <c r="AB17" s="118">
        <f>'Discounted Summary'!AB38</f>
        <v>182165.15579444269</v>
      </c>
      <c r="AC17" s="118">
        <f>'Discounted Summary'!AC38</f>
        <v>181105.61414586508</v>
      </c>
      <c r="AD17" s="118">
        <f>'Discounted Summary'!AD38</f>
        <v>180056.51957160377</v>
      </c>
      <c r="AE17" s="118">
        <f>'Discounted Summary'!AE38</f>
        <v>169929.96372071552</v>
      </c>
      <c r="AF17" s="118">
        <f>'Discounted Summary'!AF38</f>
        <v>159831.26395558903</v>
      </c>
      <c r="AG17" s="118">
        <f>'Discounted Summary'!AG38</f>
        <v>147946.25090815008</v>
      </c>
      <c r="AH17" s="118">
        <f>'Discounted Summary'!AH38</f>
        <v>136092.34625085595</v>
      </c>
      <c r="AI17" s="118">
        <f>'Discounted Summary'!AI38</f>
        <v>123364.15421439306</v>
      </c>
      <c r="AJ17" s="118">
        <f>'Discounted Summary'!AJ38</f>
        <v>109764.17339839252</v>
      </c>
      <c r="AK17" s="118">
        <f>'Discounted Summary'!AK38</f>
        <v>95294.898450263267</v>
      </c>
      <c r="AL17" s="118">
        <f>'Discounted Summary'!AL38</f>
        <v>0</v>
      </c>
      <c r="AM17" s="118">
        <f>'Discounted Summary'!AM38</f>
        <v>0</v>
      </c>
      <c r="AN17" s="118">
        <f>'Discounted Summary'!AN38</f>
        <v>0</v>
      </c>
      <c r="AO17" s="118">
        <f>'Discounted Summary'!AO38</f>
        <v>0</v>
      </c>
      <c r="AP17" s="118">
        <f>'Discounted Summary'!AP38</f>
        <v>0</v>
      </c>
      <c r="AQ17" s="118">
        <f>'Discounted Summary'!AQ38</f>
        <v>0</v>
      </c>
      <c r="AR17" s="118">
        <f>'Discounted Summary'!AR38</f>
        <v>0</v>
      </c>
      <c r="AS17" s="118">
        <f>'Discounted Summary'!AS38</f>
        <v>0</v>
      </c>
      <c r="AT17" s="118">
        <f>'Discounted Summary'!AT38</f>
        <v>0</v>
      </c>
      <c r="AU17" s="118">
        <f>'Discounted Summary'!AU38</f>
        <v>0</v>
      </c>
      <c r="AV17" s="118">
        <f>'Discounted Summary'!AV38</f>
        <v>0</v>
      </c>
      <c r="AW17" s="118">
        <f>'Discounted Summary'!AW38</f>
        <v>0</v>
      </c>
      <c r="AX17" s="118">
        <f>'Discounted Summary'!AX38</f>
        <v>0</v>
      </c>
      <c r="AY17" s="118">
        <f>'Discounted Summary'!AY38</f>
        <v>0</v>
      </c>
      <c r="AZ17" s="118">
        <f>'Discounted Summary'!AZ38</f>
        <v>0</v>
      </c>
      <c r="BA17" s="118">
        <f>'Discounted Summary'!BA38</f>
        <v>0</v>
      </c>
    </row>
    <row r="18" spans="4:53" s="113" customFormat="1" x14ac:dyDescent="0.3">
      <c r="E18" s="118" t="str">
        <f>'Discounted Summary'!E39</f>
        <v>O&amp;M Costs</v>
      </c>
      <c r="F18" s="118">
        <f>'Discounted Summary'!F39</f>
        <v>28396816.453261591</v>
      </c>
      <c r="G18" s="118" t="str">
        <f>'Discounted Summary'!G39</f>
        <v>2025$ in 2025</v>
      </c>
      <c r="H18" s="118">
        <f>'Discounted Summary'!H39</f>
        <v>0</v>
      </c>
      <c r="I18" s="118">
        <f>'Discounted Summary'!I39</f>
        <v>0</v>
      </c>
      <c r="J18" s="118">
        <f>'Discounted Summary'!J39</f>
        <v>0</v>
      </c>
      <c r="K18" s="118">
        <f>'Discounted Summary'!K39</f>
        <v>0</v>
      </c>
      <c r="L18" s="118">
        <f>'Discounted Summary'!L39</f>
        <v>0</v>
      </c>
      <c r="M18" s="118">
        <f>'Discounted Summary'!M39</f>
        <v>0</v>
      </c>
      <c r="N18" s="118">
        <f>'Discounted Summary'!N39</f>
        <v>0</v>
      </c>
      <c r="O18" s="118">
        <f>'Discounted Summary'!O39</f>
        <v>384725.10262499994</v>
      </c>
      <c r="P18" s="118">
        <f>'Discounted Summary'!P39</f>
        <v>96784.295586808905</v>
      </c>
      <c r="Q18" s="118">
        <f>'Discounted Summary'!Q39</f>
        <v>93874.195525517862</v>
      </c>
      <c r="R18" s="118">
        <f>'Discounted Summary'!R39</f>
        <v>91051.596048028965</v>
      </c>
      <c r="S18" s="118">
        <f>'Discounted Summary'!S39</f>
        <v>382693.42018246901</v>
      </c>
      <c r="T18" s="118">
        <f>'Discounted Summary'!T39</f>
        <v>656714.8149068706</v>
      </c>
      <c r="U18" s="118">
        <f>'Discounted Summary'!U39</f>
        <v>969300.32141612074</v>
      </c>
      <c r="V18" s="118">
        <f>'Discounted Summary'!V39</f>
        <v>1262494.5297646583</v>
      </c>
      <c r="W18" s="118">
        <f>'Discounted Summary'!W39</f>
        <v>1563234.8636085496</v>
      </c>
      <c r="X18" s="118">
        <f>'Discounted Summary'!X39</f>
        <v>1870019.0738285268</v>
      </c>
      <c r="Y18" s="118">
        <f>'Discounted Summary'!Y39</f>
        <v>2181451.9827344073</v>
      </c>
      <c r="Z18" s="118">
        <f>'Discounted Summary'!Z39</f>
        <v>2472465.9837659351</v>
      </c>
      <c r="AA18" s="118">
        <f>'Discounted Summary'!AA39</f>
        <v>2375065.2496445877</v>
      </c>
      <c r="AB18" s="118">
        <f>'Discounted Summary'!AB39</f>
        <v>2258920.9290075931</v>
      </c>
      <c r="AC18" s="118">
        <f>'Discounted Summary'!AC39</f>
        <v>2190999.9311421858</v>
      </c>
      <c r="AD18" s="118">
        <f>'Discounted Summary'!AD39</f>
        <v>2125121.1747256895</v>
      </c>
      <c r="AE18" s="118">
        <f>'Discounted Summary'!AE39</f>
        <v>1857141.743573362</v>
      </c>
      <c r="AF18" s="118">
        <f>'Discounted Summary'!AF39</f>
        <v>1603356.1913584624</v>
      </c>
      <c r="AG18" s="118">
        <f>'Discounted Summary'!AG39</f>
        <v>1324754.5497447511</v>
      </c>
      <c r="AH18" s="118">
        <f>'Discounted Summary'!AH39</f>
        <v>1061457.2785033642</v>
      </c>
      <c r="AI18" s="118">
        <f>'Discounted Summary'!AI39</f>
        <v>794733.78348644706</v>
      </c>
      <c r="AJ18" s="118">
        <f>'Discounted Summary'!AJ39</f>
        <v>525571.23500117729</v>
      </c>
      <c r="AK18" s="118">
        <f>'Discounted Summary'!AK39</f>
        <v>254884.20708107538</v>
      </c>
      <c r="AL18" s="118">
        <f>'Discounted Summary'!AL39</f>
        <v>0</v>
      </c>
      <c r="AM18" s="118">
        <f>'Discounted Summary'!AM39</f>
        <v>0</v>
      </c>
      <c r="AN18" s="118">
        <f>'Discounted Summary'!AN39</f>
        <v>0</v>
      </c>
      <c r="AO18" s="118">
        <f>'Discounted Summary'!AO39</f>
        <v>0</v>
      </c>
      <c r="AP18" s="118">
        <f>'Discounted Summary'!AP39</f>
        <v>0</v>
      </c>
      <c r="AQ18" s="118">
        <f>'Discounted Summary'!AQ39</f>
        <v>0</v>
      </c>
      <c r="AR18" s="118">
        <f>'Discounted Summary'!AR39</f>
        <v>0</v>
      </c>
      <c r="AS18" s="118">
        <f>'Discounted Summary'!AS39</f>
        <v>0</v>
      </c>
      <c r="AT18" s="118">
        <f>'Discounted Summary'!AT39</f>
        <v>0</v>
      </c>
      <c r="AU18" s="118">
        <f>'Discounted Summary'!AU39</f>
        <v>0</v>
      </c>
      <c r="AV18" s="118">
        <f>'Discounted Summary'!AV39</f>
        <v>0</v>
      </c>
      <c r="AW18" s="118">
        <f>'Discounted Summary'!AW39</f>
        <v>0</v>
      </c>
      <c r="AX18" s="118">
        <f>'Discounted Summary'!AX39</f>
        <v>0</v>
      </c>
      <c r="AY18" s="118">
        <f>'Discounted Summary'!AY39</f>
        <v>0</v>
      </c>
      <c r="AZ18" s="118">
        <f>'Discounted Summary'!AZ39</f>
        <v>0</v>
      </c>
      <c r="BA18" s="118">
        <f>'Discounted Summary'!BA39</f>
        <v>0</v>
      </c>
    </row>
    <row r="19" spans="4:53" s="113" customFormat="1" x14ac:dyDescent="0.3">
      <c r="E19" s="118" t="str">
        <f>'Discounted Summary'!E40</f>
        <v>Facility Cost Savings</v>
      </c>
      <c r="F19" s="118">
        <f>'Discounted Summary'!F40</f>
        <v>2181374.0130883125</v>
      </c>
      <c r="G19" s="118" t="str">
        <f>'Discounted Summary'!G40</f>
        <v>2025$ in 2025</v>
      </c>
      <c r="H19" s="118">
        <f>'Discounted Summary'!H40</f>
        <v>0</v>
      </c>
      <c r="I19" s="118">
        <f>'Discounted Summary'!I40</f>
        <v>0</v>
      </c>
      <c r="J19" s="118">
        <f>'Discounted Summary'!J40</f>
        <v>0</v>
      </c>
      <c r="K19" s="118">
        <f>'Discounted Summary'!K40</f>
        <v>0</v>
      </c>
      <c r="L19" s="118">
        <f>'Discounted Summary'!L40</f>
        <v>0</v>
      </c>
      <c r="M19" s="118">
        <f>'Discounted Summary'!M40</f>
        <v>0</v>
      </c>
      <c r="N19" s="118">
        <f>'Discounted Summary'!N40</f>
        <v>0</v>
      </c>
      <c r="O19" s="118">
        <f>'Discounted Summary'!O40</f>
        <v>26392.419167858756</v>
      </c>
      <c r="P19" s="118">
        <f>'Discounted Summary'!P40</f>
        <v>51197.709345991774</v>
      </c>
      <c r="Q19" s="118">
        <f>'Discounted Summary'!Q40</f>
        <v>0</v>
      </c>
      <c r="R19" s="118">
        <f>'Discounted Summary'!R40</f>
        <v>0</v>
      </c>
      <c r="S19" s="118">
        <f>'Discounted Summary'!S40</f>
        <v>233584.77867237417</v>
      </c>
      <c r="T19" s="118">
        <f>'Discounted Summary'!T40</f>
        <v>226561.37601588186</v>
      </c>
      <c r="U19" s="118">
        <f>'Discounted Summary'!U40</f>
        <v>263698.98275369377</v>
      </c>
      <c r="V19" s="118">
        <f>'Discounted Summary'!V40</f>
        <v>255770.10936342771</v>
      </c>
      <c r="W19" s="118">
        <f>'Discounted Summary'!W40</f>
        <v>268752.94388332992</v>
      </c>
      <c r="X19" s="118">
        <f>'Discounted Summary'!X40</f>
        <v>280723.80917455925</v>
      </c>
      <c r="Y19" s="118">
        <f>'Discounted Summary'!Y40</f>
        <v>291731.82330735697</v>
      </c>
      <c r="Z19" s="118">
        <f>'Discounted Summary'!Z40</f>
        <v>282960.06140383804</v>
      </c>
      <c r="AA19" s="118">
        <f>'Discounted Summary'!AA40</f>
        <v>0</v>
      </c>
      <c r="AB19" s="118">
        <f>'Discounted Summary'!AB40</f>
        <v>0</v>
      </c>
      <c r="AC19" s="118">
        <f>'Discounted Summary'!AC40</f>
        <v>0</v>
      </c>
      <c r="AD19" s="118">
        <f>'Discounted Summary'!AD40</f>
        <v>0</v>
      </c>
      <c r="AE19" s="118">
        <f>'Discounted Summary'!AE40</f>
        <v>0</v>
      </c>
      <c r="AF19" s="118">
        <f>'Discounted Summary'!AF40</f>
        <v>0</v>
      </c>
      <c r="AG19" s="118">
        <f>'Discounted Summary'!AG40</f>
        <v>0</v>
      </c>
      <c r="AH19" s="118">
        <f>'Discounted Summary'!AH40</f>
        <v>0</v>
      </c>
      <c r="AI19" s="118">
        <f>'Discounted Summary'!AI40</f>
        <v>0</v>
      </c>
      <c r="AJ19" s="118">
        <f>'Discounted Summary'!AJ40</f>
        <v>0</v>
      </c>
      <c r="AK19" s="118">
        <f>'Discounted Summary'!AK40</f>
        <v>0</v>
      </c>
      <c r="AL19" s="118">
        <f>'Discounted Summary'!AL40</f>
        <v>0</v>
      </c>
      <c r="AM19" s="118">
        <f>'Discounted Summary'!AM40</f>
        <v>0</v>
      </c>
      <c r="AN19" s="118">
        <f>'Discounted Summary'!AN40</f>
        <v>0</v>
      </c>
      <c r="AO19" s="118">
        <f>'Discounted Summary'!AO40</f>
        <v>0</v>
      </c>
      <c r="AP19" s="118">
        <f>'Discounted Summary'!AP40</f>
        <v>0</v>
      </c>
      <c r="AQ19" s="118">
        <f>'Discounted Summary'!AQ40</f>
        <v>0</v>
      </c>
      <c r="AR19" s="118">
        <f>'Discounted Summary'!AR40</f>
        <v>0</v>
      </c>
      <c r="AS19" s="118">
        <f>'Discounted Summary'!AS40</f>
        <v>0</v>
      </c>
      <c r="AT19" s="118">
        <f>'Discounted Summary'!AT40</f>
        <v>0</v>
      </c>
      <c r="AU19" s="118">
        <f>'Discounted Summary'!AU40</f>
        <v>0</v>
      </c>
      <c r="AV19" s="118">
        <f>'Discounted Summary'!AV40</f>
        <v>0</v>
      </c>
      <c r="AW19" s="118">
        <f>'Discounted Summary'!AW40</f>
        <v>0</v>
      </c>
      <c r="AX19" s="118">
        <f>'Discounted Summary'!AX40</f>
        <v>0</v>
      </c>
      <c r="AY19" s="118">
        <f>'Discounted Summary'!AY40</f>
        <v>0</v>
      </c>
      <c r="AZ19" s="118">
        <f>'Discounted Summary'!AZ40</f>
        <v>0</v>
      </c>
      <c r="BA19" s="118">
        <f>'Discounted Summary'!BA40</f>
        <v>0</v>
      </c>
    </row>
    <row r="20" spans="4:53" s="113" customFormat="1" x14ac:dyDescent="0.3">
      <c r="E20" s="118" t="str">
        <f>'Discounted Summary'!E41</f>
        <v>Charge Management System Cost Savings</v>
      </c>
      <c r="F20" s="118">
        <f>'Discounted Summary'!F41</f>
        <v>2603523.4199357638</v>
      </c>
      <c r="G20" s="118" t="str">
        <f>'Discounted Summary'!G41</f>
        <v>2025$ in 2025</v>
      </c>
      <c r="H20" s="118">
        <f>'Discounted Summary'!H41</f>
        <v>0</v>
      </c>
      <c r="I20" s="118">
        <f>'Discounted Summary'!I41</f>
        <v>0</v>
      </c>
      <c r="J20" s="118">
        <f>'Discounted Summary'!J41</f>
        <v>0</v>
      </c>
      <c r="K20" s="118">
        <f>'Discounted Summary'!K41</f>
        <v>0</v>
      </c>
      <c r="L20" s="118">
        <f>'Discounted Summary'!L41</f>
        <v>0</v>
      </c>
      <c r="M20" s="118">
        <f>'Discounted Summary'!M41</f>
        <v>0</v>
      </c>
      <c r="N20" s="118">
        <f>'Discounted Summary'!N41</f>
        <v>0</v>
      </c>
      <c r="O20" s="118">
        <f>'Discounted Summary'!O41</f>
        <v>31500</v>
      </c>
      <c r="P20" s="118">
        <f>'Discounted Summary'!P41</f>
        <v>61105.722599418048</v>
      </c>
      <c r="Q20" s="118">
        <f>'Discounted Summary'!Q41</f>
        <v>0</v>
      </c>
      <c r="R20" s="118">
        <f>'Discounted Summary'!R41</f>
        <v>0</v>
      </c>
      <c r="S20" s="118">
        <f>'Discounted Summary'!S41</f>
        <v>278789.1659867398</v>
      </c>
      <c r="T20" s="118">
        <f>'Discounted Summary'!T41</f>
        <v>270406.56254775927</v>
      </c>
      <c r="U20" s="118">
        <f>'Discounted Summary'!U41</f>
        <v>314731.20762105833</v>
      </c>
      <c r="V20" s="118">
        <f>'Discounted Summary'!V41</f>
        <v>305267.90263924206</v>
      </c>
      <c r="W20" s="118">
        <f>'Discounted Summary'!W41</f>
        <v>320763.23426367156</v>
      </c>
      <c r="X20" s="118">
        <f>'Discounted Summary'!X41</f>
        <v>335050.75577791536</v>
      </c>
      <c r="Y20" s="118">
        <f>'Discounted Summary'!Y41</f>
        <v>348189.09080426308</v>
      </c>
      <c r="Z20" s="118">
        <f>'Discounted Summary'!Z41</f>
        <v>337719.77769569651</v>
      </c>
      <c r="AA20" s="118">
        <f>'Discounted Summary'!AA41</f>
        <v>0</v>
      </c>
      <c r="AB20" s="118">
        <f>'Discounted Summary'!AB41</f>
        <v>0</v>
      </c>
      <c r="AC20" s="118">
        <f>'Discounted Summary'!AC41</f>
        <v>0</v>
      </c>
      <c r="AD20" s="118">
        <f>'Discounted Summary'!AD41</f>
        <v>0</v>
      </c>
      <c r="AE20" s="118">
        <f>'Discounted Summary'!AE41</f>
        <v>0</v>
      </c>
      <c r="AF20" s="118">
        <f>'Discounted Summary'!AF41</f>
        <v>0</v>
      </c>
      <c r="AG20" s="118">
        <f>'Discounted Summary'!AG41</f>
        <v>0</v>
      </c>
      <c r="AH20" s="118">
        <f>'Discounted Summary'!AH41</f>
        <v>0</v>
      </c>
      <c r="AI20" s="118">
        <f>'Discounted Summary'!AI41</f>
        <v>0</v>
      </c>
      <c r="AJ20" s="118">
        <f>'Discounted Summary'!AJ41</f>
        <v>0</v>
      </c>
      <c r="AK20" s="118">
        <f>'Discounted Summary'!AK41</f>
        <v>0</v>
      </c>
      <c r="AL20" s="118">
        <f>'Discounted Summary'!AL41</f>
        <v>0</v>
      </c>
      <c r="AM20" s="118">
        <f>'Discounted Summary'!AM41</f>
        <v>0</v>
      </c>
      <c r="AN20" s="118">
        <f>'Discounted Summary'!AN41</f>
        <v>0</v>
      </c>
      <c r="AO20" s="118">
        <f>'Discounted Summary'!AO41</f>
        <v>0</v>
      </c>
      <c r="AP20" s="118">
        <f>'Discounted Summary'!AP41</f>
        <v>0</v>
      </c>
      <c r="AQ20" s="118">
        <f>'Discounted Summary'!AQ41</f>
        <v>0</v>
      </c>
      <c r="AR20" s="118">
        <f>'Discounted Summary'!AR41</f>
        <v>0</v>
      </c>
      <c r="AS20" s="118">
        <f>'Discounted Summary'!AS41</f>
        <v>0</v>
      </c>
      <c r="AT20" s="118">
        <f>'Discounted Summary'!AT41</f>
        <v>0</v>
      </c>
      <c r="AU20" s="118">
        <f>'Discounted Summary'!AU41</f>
        <v>0</v>
      </c>
      <c r="AV20" s="118">
        <f>'Discounted Summary'!AV41</f>
        <v>0</v>
      </c>
      <c r="AW20" s="118">
        <f>'Discounted Summary'!AW41</f>
        <v>0</v>
      </c>
      <c r="AX20" s="118">
        <f>'Discounted Summary'!AX41</f>
        <v>0</v>
      </c>
      <c r="AY20" s="118">
        <f>'Discounted Summary'!AY41</f>
        <v>0</v>
      </c>
      <c r="AZ20" s="118">
        <f>'Discounted Summary'!AZ41</f>
        <v>0</v>
      </c>
      <c r="BA20" s="118">
        <f>'Discounted Summary'!BA41</f>
        <v>0</v>
      </c>
    </row>
    <row r="21" spans="4:53" s="113" customFormat="1" x14ac:dyDescent="0.3">
      <c r="E21" s="118"/>
      <c r="F21" s="118"/>
      <c r="G21" s="118"/>
      <c r="H21" s="118"/>
      <c r="I21" s="118"/>
      <c r="J21" s="118"/>
      <c r="K21" s="118"/>
      <c r="L21" s="118"/>
      <c r="M21" s="118"/>
      <c r="N21" s="118"/>
      <c r="O21" s="118"/>
      <c r="P21" s="118"/>
      <c r="Q21" s="118"/>
      <c r="R21" s="118"/>
      <c r="S21" s="118"/>
      <c r="T21" s="118"/>
      <c r="U21" s="118"/>
      <c r="V21" s="118"/>
      <c r="W21" s="118"/>
      <c r="X21" s="118"/>
      <c r="Y21" s="118"/>
      <c r="Z21" s="118"/>
      <c r="AA21" s="118"/>
      <c r="AB21" s="118"/>
      <c r="AC21" s="118"/>
      <c r="AD21" s="118"/>
      <c r="AE21" s="118"/>
      <c r="AF21" s="118"/>
      <c r="AG21" s="118"/>
      <c r="AH21" s="118"/>
      <c r="AI21" s="118"/>
      <c r="AJ21" s="118"/>
      <c r="AK21" s="118"/>
      <c r="AL21" s="118"/>
      <c r="AM21" s="118"/>
      <c r="AN21" s="118"/>
      <c r="AO21" s="118"/>
      <c r="AP21" s="118"/>
      <c r="AQ21" s="118"/>
      <c r="AR21" s="118"/>
      <c r="AS21" s="118"/>
      <c r="AT21" s="118"/>
      <c r="AU21" s="118"/>
      <c r="AV21" s="118"/>
      <c r="AW21" s="118"/>
      <c r="AX21" s="118"/>
      <c r="AY21" s="118"/>
      <c r="AZ21" s="118"/>
      <c r="BA21" s="118"/>
    </row>
    <row r="22" spans="4:53" s="113" customFormat="1" x14ac:dyDescent="0.3">
      <c r="E22" s="118" t="str">
        <f>'Discounted Summary'!E$35</f>
        <v>TOTAL  COSTS</v>
      </c>
      <c r="F22" s="118">
        <f>'Discounted Summary'!F$35</f>
        <v>50716688.057874545</v>
      </c>
      <c r="G22" s="118" t="str">
        <f>'Discounted Summary'!G$35</f>
        <v>2025$ in 2025</v>
      </c>
      <c r="H22" s="118">
        <f>'Discounted Summary'!H$35</f>
        <v>0</v>
      </c>
      <c r="I22" s="118">
        <f>'Discounted Summary'!I$35</f>
        <v>0</v>
      </c>
      <c r="J22" s="118">
        <f>'Discounted Summary'!J$35</f>
        <v>0</v>
      </c>
      <c r="K22" s="118">
        <f>'Discounted Summary'!K$35</f>
        <v>0</v>
      </c>
      <c r="L22" s="118">
        <f>'Discounted Summary'!L$35</f>
        <v>0</v>
      </c>
      <c r="M22" s="118">
        <f>'Discounted Summary'!M$35</f>
        <v>0</v>
      </c>
      <c r="N22" s="118">
        <f>'Discounted Summary'!N$35</f>
        <v>277068.5969624999</v>
      </c>
      <c r="O22" s="118">
        <f>'Discounted Summary'!O$35</f>
        <v>3150734.9203139995</v>
      </c>
      <c r="P22" s="118">
        <f>'Discounted Summary'!P$35</f>
        <v>205683.01527643064</v>
      </c>
      <c r="Q22" s="118">
        <f>'Discounted Summary'!Q$35</f>
        <v>198138.05976889087</v>
      </c>
      <c r="R22" s="118">
        <f>'Discounted Summary'!R$35</f>
        <v>2114634.3087845617</v>
      </c>
      <c r="S22" s="118">
        <f>'Discounted Summary'!S$35</f>
        <v>2335030.4642990134</v>
      </c>
      <c r="T22" s="118">
        <f>'Discounted Summary'!T$35</f>
        <v>2824293.8430874939</v>
      </c>
      <c r="U22" s="118">
        <f>'Discounted Summary'!U$35</f>
        <v>3088644.5475570662</v>
      </c>
      <c r="V22" s="118">
        <f>'Discounted Summary'!V$35</f>
        <v>3447269.2718425565</v>
      </c>
      <c r="W22" s="118">
        <f>'Discounted Summary'!W$35</f>
        <v>3805586.8454621369</v>
      </c>
      <c r="X22" s="118">
        <f>'Discounted Summary'!X$35</f>
        <v>4161416.1994328746</v>
      </c>
      <c r="Y22" s="118">
        <f>'Discounted Summary'!Y$35</f>
        <v>4382749.9204002051</v>
      </c>
      <c r="Z22" s="118">
        <f>'Discounted Summary'!Z$35</f>
        <v>2682821.5663537388</v>
      </c>
      <c r="AA22" s="118">
        <f>'Discounted Summary'!AA$35</f>
        <v>2560125.1342986957</v>
      </c>
      <c r="AB22" s="118">
        <f>'Discounted Summary'!AB$35</f>
        <v>2441086.0848020357</v>
      </c>
      <c r="AC22" s="118">
        <f>'Discounted Summary'!AC$35</f>
        <v>2372105.545288051</v>
      </c>
      <c r="AD22" s="118">
        <f>'Discounted Summary'!AD$35</f>
        <v>2305177.6942972932</v>
      </c>
      <c r="AE22" s="118">
        <f>'Discounted Summary'!AE$35</f>
        <v>2027071.7072940776</v>
      </c>
      <c r="AF22" s="118">
        <f>'Discounted Summary'!AF$35</f>
        <v>1763187.4553140514</v>
      </c>
      <c r="AG22" s="118">
        <f>'Discounted Summary'!AG$35</f>
        <v>1472700.8006529012</v>
      </c>
      <c r="AH22" s="118">
        <f>'Discounted Summary'!AH$35</f>
        <v>1197549.6247542202</v>
      </c>
      <c r="AI22" s="118">
        <f>'Discounted Summary'!AI$35</f>
        <v>918097.93770084018</v>
      </c>
      <c r="AJ22" s="118">
        <f>'Discounted Summary'!AJ$35</f>
        <v>635335.4083995698</v>
      </c>
      <c r="AK22" s="118">
        <f>'Discounted Summary'!AK$35</f>
        <v>350179.10553133866</v>
      </c>
      <c r="AL22" s="118">
        <f>'Discounted Summary'!AL$35</f>
        <v>0</v>
      </c>
      <c r="AM22" s="118">
        <f>'Discounted Summary'!AM$35</f>
        <v>0</v>
      </c>
      <c r="AN22" s="118">
        <f>'Discounted Summary'!AN$35</f>
        <v>0</v>
      </c>
      <c r="AO22" s="118">
        <f>'Discounted Summary'!AO$35</f>
        <v>0</v>
      </c>
      <c r="AP22" s="118">
        <f>'Discounted Summary'!AP$35</f>
        <v>0</v>
      </c>
      <c r="AQ22" s="118">
        <f>'Discounted Summary'!AQ$35</f>
        <v>0</v>
      </c>
      <c r="AR22" s="118">
        <f>'Discounted Summary'!AR$35</f>
        <v>0</v>
      </c>
      <c r="AS22" s="118">
        <f>'Discounted Summary'!AS$35</f>
        <v>0</v>
      </c>
      <c r="AT22" s="118">
        <f>'Discounted Summary'!AT$35</f>
        <v>0</v>
      </c>
      <c r="AU22" s="118">
        <f>'Discounted Summary'!AU$35</f>
        <v>0</v>
      </c>
      <c r="AV22" s="118">
        <f>'Discounted Summary'!AV$35</f>
        <v>0</v>
      </c>
      <c r="AW22" s="118">
        <f>'Discounted Summary'!AW$35</f>
        <v>0</v>
      </c>
      <c r="AX22" s="118">
        <f>'Discounted Summary'!AX$35</f>
        <v>0</v>
      </c>
      <c r="AY22" s="118">
        <f>'Discounted Summary'!AY$35</f>
        <v>0</v>
      </c>
      <c r="AZ22" s="118">
        <f>'Discounted Summary'!AZ$35</f>
        <v>0</v>
      </c>
      <c r="BA22" s="118">
        <f>'Discounted Summary'!BA$35</f>
        <v>0</v>
      </c>
    </row>
    <row r="23" spans="4:53" s="113" customFormat="1" x14ac:dyDescent="0.3">
      <c r="E23" s="118" t="str">
        <f>'Discounted Summary'!E$36</f>
        <v>CUMULATIVE  COSTS</v>
      </c>
      <c r="F23" s="118">
        <f>'Discounted Summary'!F$36</f>
        <v>0</v>
      </c>
      <c r="G23" s="118">
        <f>'Discounted Summary'!G$36</f>
        <v>0</v>
      </c>
      <c r="H23" s="118">
        <f>'Discounted Summary'!H$36</f>
        <v>0</v>
      </c>
      <c r="I23" s="118">
        <f>'Discounted Summary'!I$36</f>
        <v>0</v>
      </c>
      <c r="J23" s="118">
        <f>'Discounted Summary'!J$36</f>
        <v>0</v>
      </c>
      <c r="K23" s="118">
        <f>'Discounted Summary'!K$36</f>
        <v>0</v>
      </c>
      <c r="L23" s="118">
        <f>'Discounted Summary'!L$36</f>
        <v>0</v>
      </c>
      <c r="M23" s="118">
        <f>'Discounted Summary'!M$36</f>
        <v>0</v>
      </c>
      <c r="N23" s="118">
        <f>'Discounted Summary'!N$36</f>
        <v>277068.5969624999</v>
      </c>
      <c r="O23" s="118">
        <f>'Discounted Summary'!O$36</f>
        <v>3427803.5172764994</v>
      </c>
      <c r="P23" s="118">
        <f>'Discounted Summary'!P$36</f>
        <v>3633486.5325529301</v>
      </c>
      <c r="Q23" s="118">
        <f>'Discounted Summary'!Q$36</f>
        <v>3831624.592321821</v>
      </c>
      <c r="R23" s="118">
        <f>'Discounted Summary'!R$36</f>
        <v>5946258.9011063827</v>
      </c>
      <c r="S23" s="118">
        <f>'Discounted Summary'!S$36</f>
        <v>8281289.3654053956</v>
      </c>
      <c r="T23" s="118">
        <f>'Discounted Summary'!T$36</f>
        <v>11105583.20849289</v>
      </c>
      <c r="U23" s="118">
        <f>'Discounted Summary'!U$36</f>
        <v>14194227.756049957</v>
      </c>
      <c r="V23" s="118">
        <f>'Discounted Summary'!V$36</f>
        <v>17641497.027892515</v>
      </c>
      <c r="W23" s="118">
        <f>'Discounted Summary'!W$36</f>
        <v>21447083.873354651</v>
      </c>
      <c r="X23" s="118">
        <f>'Discounted Summary'!X$36</f>
        <v>25608500.072787527</v>
      </c>
      <c r="Y23" s="118">
        <f>'Discounted Summary'!Y$36</f>
        <v>29991249.993187733</v>
      </c>
      <c r="Z23" s="118">
        <f>'Discounted Summary'!Z$36</f>
        <v>32674071.559541471</v>
      </c>
      <c r="AA23" s="118">
        <f>'Discounted Summary'!AA$36</f>
        <v>35234196.693840168</v>
      </c>
      <c r="AB23" s="118">
        <f>'Discounted Summary'!AB$36</f>
        <v>37675282.778642207</v>
      </c>
      <c r="AC23" s="118">
        <f>'Discounted Summary'!AC$36</f>
        <v>40047388.323930256</v>
      </c>
      <c r="AD23" s="118">
        <f>'Discounted Summary'!AD$36</f>
        <v>42352566.018227547</v>
      </c>
      <c r="AE23" s="118">
        <f>'Discounted Summary'!AE$36</f>
        <v>44379637.725521624</v>
      </c>
      <c r="AF23" s="118">
        <f>'Discounted Summary'!AF$36</f>
        <v>46142825.180835679</v>
      </c>
      <c r="AG23" s="118">
        <f>'Discounted Summary'!AG$36</f>
        <v>47615525.981488578</v>
      </c>
      <c r="AH23" s="118">
        <f>'Discounted Summary'!AH$36</f>
        <v>48813075.606242798</v>
      </c>
      <c r="AI23" s="118">
        <f>'Discounted Summary'!AI$36</f>
        <v>49731173.543943636</v>
      </c>
      <c r="AJ23" s="118">
        <f>'Discounted Summary'!AJ$36</f>
        <v>50366508.952343203</v>
      </c>
      <c r="AK23" s="118">
        <f>'Discounted Summary'!AK$36</f>
        <v>50716688.057874545</v>
      </c>
      <c r="AL23" s="118">
        <f>'Discounted Summary'!AL$36</f>
        <v>50716688.057874545</v>
      </c>
      <c r="AM23" s="118">
        <f>'Discounted Summary'!AM$36</f>
        <v>50716688.057874545</v>
      </c>
      <c r="AN23" s="118">
        <f>'Discounted Summary'!AN$36</f>
        <v>50716688.057874545</v>
      </c>
      <c r="AO23" s="118">
        <f>'Discounted Summary'!AO$36</f>
        <v>50716688.057874545</v>
      </c>
      <c r="AP23" s="118">
        <f>'Discounted Summary'!AP$36</f>
        <v>50716688.057874545</v>
      </c>
      <c r="AQ23" s="118">
        <f>'Discounted Summary'!AQ$36</f>
        <v>50716688.057874545</v>
      </c>
      <c r="AR23" s="118">
        <f>'Discounted Summary'!AR$36</f>
        <v>50716688.057874545</v>
      </c>
      <c r="AS23" s="118">
        <f>'Discounted Summary'!AS$36</f>
        <v>50716688.057874545</v>
      </c>
      <c r="AT23" s="118">
        <f>'Discounted Summary'!AT$36</f>
        <v>50716688.057874545</v>
      </c>
      <c r="AU23" s="118">
        <f>'Discounted Summary'!AU$36</f>
        <v>50716688.057874545</v>
      </c>
      <c r="AV23" s="118">
        <f>'Discounted Summary'!AV$36</f>
        <v>50716688.057874545</v>
      </c>
      <c r="AW23" s="118">
        <f>'Discounted Summary'!AW$36</f>
        <v>50716688.057874545</v>
      </c>
      <c r="AX23" s="118">
        <f>'Discounted Summary'!AX$36</f>
        <v>50716688.057874545</v>
      </c>
      <c r="AY23" s="118">
        <f>'Discounted Summary'!AY$36</f>
        <v>50716688.057874545</v>
      </c>
      <c r="AZ23" s="118">
        <f>'Discounted Summary'!AZ$36</f>
        <v>50716688.057874545</v>
      </c>
      <c r="BA23" s="118">
        <f>'Discounted Summary'!BA$36</f>
        <v>50716688.057874545</v>
      </c>
    </row>
    <row r="24" spans="4:53" x14ac:dyDescent="0.3">
      <c r="E24" s="112"/>
    </row>
    <row r="25" spans="4:53" x14ac:dyDescent="0.3">
      <c r="D25" s="115" t="s">
        <v>41</v>
      </c>
    </row>
    <row r="26" spans="4:53" x14ac:dyDescent="0.3">
      <c r="E26" s="112"/>
      <c r="I26">
        <f>I$3</f>
        <v>2019</v>
      </c>
      <c r="J26">
        <f t="shared" ref="J26:BA26" si="0">J$3</f>
        <v>2020</v>
      </c>
      <c r="K26">
        <f t="shared" si="0"/>
        <v>2021</v>
      </c>
      <c r="L26">
        <f t="shared" si="0"/>
        <v>2022</v>
      </c>
      <c r="M26">
        <f t="shared" si="0"/>
        <v>2023</v>
      </c>
      <c r="N26">
        <f t="shared" si="0"/>
        <v>2024</v>
      </c>
      <c r="O26">
        <f t="shared" si="0"/>
        <v>2025</v>
      </c>
      <c r="P26">
        <f t="shared" si="0"/>
        <v>2026</v>
      </c>
      <c r="Q26">
        <f t="shared" si="0"/>
        <v>2027</v>
      </c>
      <c r="R26">
        <f t="shared" si="0"/>
        <v>2028</v>
      </c>
      <c r="S26">
        <f t="shared" si="0"/>
        <v>2029</v>
      </c>
      <c r="T26">
        <f t="shared" si="0"/>
        <v>2030</v>
      </c>
      <c r="U26">
        <f t="shared" si="0"/>
        <v>2031</v>
      </c>
      <c r="V26">
        <f t="shared" si="0"/>
        <v>2032</v>
      </c>
      <c r="W26">
        <f t="shared" si="0"/>
        <v>2033</v>
      </c>
      <c r="X26">
        <f t="shared" si="0"/>
        <v>2034</v>
      </c>
      <c r="Y26">
        <f t="shared" si="0"/>
        <v>2035</v>
      </c>
      <c r="Z26">
        <f t="shared" si="0"/>
        <v>2036</v>
      </c>
      <c r="AA26">
        <f t="shared" si="0"/>
        <v>2037</v>
      </c>
      <c r="AB26">
        <f t="shared" si="0"/>
        <v>2038</v>
      </c>
      <c r="AC26">
        <f t="shared" si="0"/>
        <v>2039</v>
      </c>
      <c r="AD26">
        <f t="shared" si="0"/>
        <v>2040</v>
      </c>
      <c r="AE26">
        <f t="shared" si="0"/>
        <v>2041</v>
      </c>
      <c r="AF26">
        <f t="shared" si="0"/>
        <v>2042</v>
      </c>
      <c r="AG26">
        <f t="shared" si="0"/>
        <v>2043</v>
      </c>
      <c r="AH26">
        <f t="shared" si="0"/>
        <v>2044</v>
      </c>
      <c r="AI26">
        <f t="shared" si="0"/>
        <v>2045</v>
      </c>
      <c r="AJ26">
        <f t="shared" si="0"/>
        <v>2046</v>
      </c>
      <c r="AK26">
        <f t="shared" si="0"/>
        <v>2047</v>
      </c>
      <c r="AL26">
        <f t="shared" si="0"/>
        <v>2048</v>
      </c>
      <c r="AM26">
        <f t="shared" si="0"/>
        <v>2049</v>
      </c>
      <c r="AN26">
        <f t="shared" si="0"/>
        <v>2050</v>
      </c>
      <c r="AO26">
        <f t="shared" si="0"/>
        <v>2051</v>
      </c>
      <c r="AP26">
        <f t="shared" si="0"/>
        <v>2052</v>
      </c>
      <c r="AQ26">
        <f t="shared" si="0"/>
        <v>2053</v>
      </c>
      <c r="AR26">
        <f t="shared" si="0"/>
        <v>2054</v>
      </c>
      <c r="AS26">
        <f t="shared" si="0"/>
        <v>2055</v>
      </c>
      <c r="AT26">
        <f t="shared" si="0"/>
        <v>2056</v>
      </c>
      <c r="AU26">
        <f t="shared" si="0"/>
        <v>2057</v>
      </c>
      <c r="AV26">
        <f t="shared" si="0"/>
        <v>2058</v>
      </c>
      <c r="AW26">
        <f t="shared" si="0"/>
        <v>2059</v>
      </c>
      <c r="AX26">
        <f t="shared" si="0"/>
        <v>2060</v>
      </c>
      <c r="AY26">
        <f t="shared" si="0"/>
        <v>2061</v>
      </c>
      <c r="AZ26">
        <f t="shared" si="0"/>
        <v>2062</v>
      </c>
      <c r="BA26">
        <f t="shared" si="0"/>
        <v>2063</v>
      </c>
    </row>
    <row r="27" spans="4:53" x14ac:dyDescent="0.3">
      <c r="E27" s="112" t="str">
        <f>E$15</f>
        <v>CUMULATIVE  BENEFITS</v>
      </c>
      <c r="F27" s="112">
        <f>F$15</f>
        <v>0</v>
      </c>
      <c r="G27" s="112">
        <f>G$15</f>
        <v>0</v>
      </c>
      <c r="I27" s="114" t="e">
        <f t="shared" ref="I27:BA27" si="1">I$15*I$5</f>
        <v>#REF!</v>
      </c>
      <c r="J27" s="114" t="e">
        <f t="shared" si="1"/>
        <v>#REF!</v>
      </c>
      <c r="K27" s="114" t="e">
        <f t="shared" si="1"/>
        <v>#REF!</v>
      </c>
      <c r="L27" s="114" t="e">
        <f t="shared" si="1"/>
        <v>#REF!</v>
      </c>
      <c r="M27" s="114" t="e">
        <f t="shared" si="1"/>
        <v>#REF!</v>
      </c>
      <c r="N27" s="114" t="e">
        <f t="shared" si="1"/>
        <v>#REF!</v>
      </c>
      <c r="O27" s="114" t="e">
        <f t="shared" si="1"/>
        <v>#REF!</v>
      </c>
      <c r="P27" s="114" t="e">
        <f t="shared" si="1"/>
        <v>#REF!</v>
      </c>
      <c r="Q27" s="114" t="e">
        <f t="shared" si="1"/>
        <v>#REF!</v>
      </c>
      <c r="R27" s="114" t="e">
        <f t="shared" si="1"/>
        <v>#REF!</v>
      </c>
      <c r="S27" s="114" t="e">
        <f t="shared" si="1"/>
        <v>#REF!</v>
      </c>
      <c r="T27" s="114" t="e">
        <f t="shared" si="1"/>
        <v>#REF!</v>
      </c>
      <c r="U27" s="114" t="e">
        <f t="shared" si="1"/>
        <v>#REF!</v>
      </c>
      <c r="V27" s="114" t="e">
        <f t="shared" si="1"/>
        <v>#REF!</v>
      </c>
      <c r="W27" s="114" t="e">
        <f t="shared" si="1"/>
        <v>#REF!</v>
      </c>
      <c r="X27" s="114" t="e">
        <f t="shared" si="1"/>
        <v>#REF!</v>
      </c>
      <c r="Y27" s="114" t="e">
        <f t="shared" si="1"/>
        <v>#REF!</v>
      </c>
      <c r="Z27" s="114" t="e">
        <f t="shared" si="1"/>
        <v>#REF!</v>
      </c>
      <c r="AA27" s="114" t="e">
        <f t="shared" si="1"/>
        <v>#REF!</v>
      </c>
      <c r="AB27" s="114" t="e">
        <f t="shared" si="1"/>
        <v>#REF!</v>
      </c>
      <c r="AC27" s="114" t="e">
        <f t="shared" si="1"/>
        <v>#REF!</v>
      </c>
      <c r="AD27" s="114" t="e">
        <f t="shared" si="1"/>
        <v>#REF!</v>
      </c>
      <c r="AE27" s="114" t="e">
        <f t="shared" si="1"/>
        <v>#REF!</v>
      </c>
      <c r="AF27" s="114" t="e">
        <f t="shared" si="1"/>
        <v>#REF!</v>
      </c>
      <c r="AG27" s="114" t="e">
        <f t="shared" si="1"/>
        <v>#REF!</v>
      </c>
      <c r="AH27" s="114" t="e">
        <f t="shared" si="1"/>
        <v>#REF!</v>
      </c>
      <c r="AI27" s="114" t="e">
        <f t="shared" si="1"/>
        <v>#REF!</v>
      </c>
      <c r="AJ27" s="114" t="e">
        <f t="shared" si="1"/>
        <v>#REF!</v>
      </c>
      <c r="AK27" s="114" t="e">
        <f t="shared" si="1"/>
        <v>#REF!</v>
      </c>
      <c r="AL27" s="114" t="e">
        <f t="shared" si="1"/>
        <v>#REF!</v>
      </c>
      <c r="AM27" s="114" t="e">
        <f t="shared" si="1"/>
        <v>#REF!</v>
      </c>
      <c r="AN27" s="114" t="e">
        <f t="shared" si="1"/>
        <v>#REF!</v>
      </c>
      <c r="AO27" s="114" t="e">
        <f t="shared" si="1"/>
        <v>#REF!</v>
      </c>
      <c r="AP27" s="114" t="e">
        <f t="shared" si="1"/>
        <v>#REF!</v>
      </c>
      <c r="AQ27" s="114" t="e">
        <f t="shared" si="1"/>
        <v>#REF!</v>
      </c>
      <c r="AR27" s="114" t="e">
        <f t="shared" si="1"/>
        <v>#REF!</v>
      </c>
      <c r="AS27" s="114" t="e">
        <f t="shared" si="1"/>
        <v>#REF!</v>
      </c>
      <c r="AT27" s="114" t="e">
        <f t="shared" si="1"/>
        <v>#REF!</v>
      </c>
      <c r="AU27" s="114" t="e">
        <f t="shared" si="1"/>
        <v>#REF!</v>
      </c>
      <c r="AV27" s="114" t="e">
        <f t="shared" si="1"/>
        <v>#REF!</v>
      </c>
      <c r="AW27" s="114" t="e">
        <f t="shared" si="1"/>
        <v>#REF!</v>
      </c>
      <c r="AX27" s="114" t="e">
        <f t="shared" si="1"/>
        <v>#REF!</v>
      </c>
      <c r="AY27" s="114" t="e">
        <f t="shared" si="1"/>
        <v>#REF!</v>
      </c>
      <c r="AZ27" s="114" t="e">
        <f t="shared" si="1"/>
        <v>#REF!</v>
      </c>
      <c r="BA27" s="114" t="e">
        <f t="shared" si="1"/>
        <v>#REF!</v>
      </c>
    </row>
    <row r="28" spans="4:53" x14ac:dyDescent="0.3">
      <c r="E28" s="114" t="str">
        <f>E$23</f>
        <v>CUMULATIVE  COSTS</v>
      </c>
      <c r="F28" s="114">
        <f>F$23</f>
        <v>0</v>
      </c>
      <c r="G28" s="114">
        <f>G$23</f>
        <v>0</v>
      </c>
      <c r="H28" s="114"/>
      <c r="I28" s="114" t="e">
        <f t="shared" ref="I28:BA28" si="2">I$23*I$5</f>
        <v>#REF!</v>
      </c>
      <c r="J28" s="114" t="e">
        <f t="shared" si="2"/>
        <v>#REF!</v>
      </c>
      <c r="K28" s="114" t="e">
        <f t="shared" si="2"/>
        <v>#REF!</v>
      </c>
      <c r="L28" s="114" t="e">
        <f t="shared" si="2"/>
        <v>#REF!</v>
      </c>
      <c r="M28" s="114" t="e">
        <f t="shared" si="2"/>
        <v>#REF!</v>
      </c>
      <c r="N28" s="114" t="e">
        <f t="shared" si="2"/>
        <v>#REF!</v>
      </c>
      <c r="O28" s="114" t="e">
        <f t="shared" si="2"/>
        <v>#REF!</v>
      </c>
      <c r="P28" s="114" t="e">
        <f t="shared" si="2"/>
        <v>#REF!</v>
      </c>
      <c r="Q28" s="114" t="e">
        <f t="shared" si="2"/>
        <v>#REF!</v>
      </c>
      <c r="R28" s="114" t="e">
        <f t="shared" si="2"/>
        <v>#REF!</v>
      </c>
      <c r="S28" s="114" t="e">
        <f t="shared" si="2"/>
        <v>#REF!</v>
      </c>
      <c r="T28" s="114" t="e">
        <f t="shared" si="2"/>
        <v>#REF!</v>
      </c>
      <c r="U28" s="114" t="e">
        <f t="shared" si="2"/>
        <v>#REF!</v>
      </c>
      <c r="V28" s="114" t="e">
        <f t="shared" si="2"/>
        <v>#REF!</v>
      </c>
      <c r="W28" s="114" t="e">
        <f t="shared" si="2"/>
        <v>#REF!</v>
      </c>
      <c r="X28" s="114" t="e">
        <f t="shared" si="2"/>
        <v>#REF!</v>
      </c>
      <c r="Y28" s="114" t="e">
        <f t="shared" si="2"/>
        <v>#REF!</v>
      </c>
      <c r="Z28" s="114" t="e">
        <f t="shared" si="2"/>
        <v>#REF!</v>
      </c>
      <c r="AA28" s="114" t="e">
        <f t="shared" si="2"/>
        <v>#REF!</v>
      </c>
      <c r="AB28" s="114" t="e">
        <f t="shared" si="2"/>
        <v>#REF!</v>
      </c>
      <c r="AC28" s="114" t="e">
        <f t="shared" si="2"/>
        <v>#REF!</v>
      </c>
      <c r="AD28" s="114" t="e">
        <f t="shared" si="2"/>
        <v>#REF!</v>
      </c>
      <c r="AE28" s="114" t="e">
        <f t="shared" si="2"/>
        <v>#REF!</v>
      </c>
      <c r="AF28" s="114" t="e">
        <f t="shared" si="2"/>
        <v>#REF!</v>
      </c>
      <c r="AG28" s="114" t="e">
        <f t="shared" si="2"/>
        <v>#REF!</v>
      </c>
      <c r="AH28" s="114" t="e">
        <f t="shared" si="2"/>
        <v>#REF!</v>
      </c>
      <c r="AI28" s="114" t="e">
        <f t="shared" si="2"/>
        <v>#REF!</v>
      </c>
      <c r="AJ28" s="114" t="e">
        <f t="shared" si="2"/>
        <v>#REF!</v>
      </c>
      <c r="AK28" s="114" t="e">
        <f t="shared" si="2"/>
        <v>#REF!</v>
      </c>
      <c r="AL28" s="114" t="e">
        <f t="shared" si="2"/>
        <v>#REF!</v>
      </c>
      <c r="AM28" s="114" t="e">
        <f t="shared" si="2"/>
        <v>#REF!</v>
      </c>
      <c r="AN28" s="114" t="e">
        <f t="shared" si="2"/>
        <v>#REF!</v>
      </c>
      <c r="AO28" s="114" t="e">
        <f t="shared" si="2"/>
        <v>#REF!</v>
      </c>
      <c r="AP28" s="114" t="e">
        <f t="shared" si="2"/>
        <v>#REF!</v>
      </c>
      <c r="AQ28" s="114" t="e">
        <f t="shared" si="2"/>
        <v>#REF!</v>
      </c>
      <c r="AR28" s="114" t="e">
        <f t="shared" si="2"/>
        <v>#REF!</v>
      </c>
      <c r="AS28" s="114" t="e">
        <f t="shared" si="2"/>
        <v>#REF!</v>
      </c>
      <c r="AT28" s="114" t="e">
        <f t="shared" si="2"/>
        <v>#REF!</v>
      </c>
      <c r="AU28" s="114" t="e">
        <f t="shared" si="2"/>
        <v>#REF!</v>
      </c>
      <c r="AV28" s="114" t="e">
        <f t="shared" si="2"/>
        <v>#REF!</v>
      </c>
      <c r="AW28" s="114" t="e">
        <f t="shared" si="2"/>
        <v>#REF!</v>
      </c>
      <c r="AX28" s="114" t="e">
        <f t="shared" si="2"/>
        <v>#REF!</v>
      </c>
      <c r="AY28" s="114" t="e">
        <f t="shared" si="2"/>
        <v>#REF!</v>
      </c>
      <c r="AZ28" s="114" t="e">
        <f t="shared" si="2"/>
        <v>#REF!</v>
      </c>
      <c r="BA28" s="114" t="e">
        <f t="shared" si="2"/>
        <v>#REF!</v>
      </c>
    </row>
    <row r="30" spans="4:53" x14ac:dyDescent="0.3">
      <c r="D30" s="63" t="s">
        <v>42</v>
      </c>
    </row>
    <row r="32" spans="4:53" x14ac:dyDescent="0.3">
      <c r="E32" s="63" t="s">
        <v>43</v>
      </c>
    </row>
    <row r="34" spans="5:21" x14ac:dyDescent="0.3">
      <c r="E34" t="s">
        <v>44</v>
      </c>
      <c r="F34" t="e">
        <f>#REF!</f>
        <v>#REF!</v>
      </c>
      <c r="G34" t="s">
        <v>45</v>
      </c>
    </row>
    <row r="35" spans="5:21" x14ac:dyDescent="0.3">
      <c r="E35" t="s">
        <v>46</v>
      </c>
      <c r="F35" t="e">
        <f>#REF!</f>
        <v>#REF!</v>
      </c>
      <c r="G35" t="s">
        <v>45</v>
      </c>
    </row>
    <row r="37" spans="5:21" x14ac:dyDescent="0.3">
      <c r="E37" s="113" t="s">
        <v>47</v>
      </c>
      <c r="F37" s="113" t="e">
        <f>F39-F38</f>
        <v>#REF!</v>
      </c>
    </row>
    <row r="38" spans="5:21" x14ac:dyDescent="0.3">
      <c r="E38" s="113" t="s">
        <v>48</v>
      </c>
      <c r="F38" s="113" t="e">
        <f>#REF!</f>
        <v>#REF!</v>
      </c>
    </row>
    <row r="39" spans="5:21" x14ac:dyDescent="0.3">
      <c r="E39" s="113" t="s">
        <v>49</v>
      </c>
      <c r="F39" s="113" t="e">
        <f>#REF!</f>
        <v>#REF!</v>
      </c>
    </row>
    <row r="41" spans="5:21" x14ac:dyDescent="0.3">
      <c r="E41" t="s">
        <v>50</v>
      </c>
      <c r="I41" t="e">
        <f>($F$39-$F$38-$F$37)+0</f>
        <v>#REF!</v>
      </c>
      <c r="J41" t="e">
        <f>($F$39-$F$38-$F$37)+(I$41+1)</f>
        <v>#REF!</v>
      </c>
      <c r="K41" t="e">
        <f t="shared" ref="K41:U41" si="3">($F$39-$F$38-$F$37)+(J$41+1)</f>
        <v>#REF!</v>
      </c>
      <c r="L41" t="e">
        <f t="shared" si="3"/>
        <v>#REF!</v>
      </c>
      <c r="M41" t="e">
        <f t="shared" si="3"/>
        <v>#REF!</v>
      </c>
      <c r="N41" t="e">
        <f t="shared" si="3"/>
        <v>#REF!</v>
      </c>
      <c r="O41" t="e">
        <f t="shared" si="3"/>
        <v>#REF!</v>
      </c>
      <c r="P41" t="e">
        <f t="shared" si="3"/>
        <v>#REF!</v>
      </c>
      <c r="Q41" t="e">
        <f t="shared" si="3"/>
        <v>#REF!</v>
      </c>
      <c r="R41" t="e">
        <f t="shared" si="3"/>
        <v>#REF!</v>
      </c>
      <c r="S41" t="e">
        <f t="shared" si="3"/>
        <v>#REF!</v>
      </c>
      <c r="T41" t="e">
        <f t="shared" si="3"/>
        <v>#REF!</v>
      </c>
      <c r="U41" t="e">
        <f t="shared" si="3"/>
        <v>#REF!</v>
      </c>
    </row>
    <row r="42" spans="5:21" x14ac:dyDescent="0.3">
      <c r="E42" t="s">
        <v>51</v>
      </c>
      <c r="I42" t="e">
        <f>$F$34+I$41</f>
        <v>#REF!</v>
      </c>
      <c r="J42" t="e">
        <f t="shared" ref="J42:U42" si="4">$F$34+J$41</f>
        <v>#REF!</v>
      </c>
      <c r="K42" t="e">
        <f t="shared" si="4"/>
        <v>#REF!</v>
      </c>
      <c r="L42" t="e">
        <f t="shared" si="4"/>
        <v>#REF!</v>
      </c>
      <c r="M42" t="e">
        <f t="shared" si="4"/>
        <v>#REF!</v>
      </c>
      <c r="N42" t="e">
        <f t="shared" si="4"/>
        <v>#REF!</v>
      </c>
      <c r="O42" t="e">
        <f t="shared" si="4"/>
        <v>#REF!</v>
      </c>
      <c r="P42" t="e">
        <f t="shared" si="4"/>
        <v>#REF!</v>
      </c>
      <c r="Q42" t="e">
        <f t="shared" si="4"/>
        <v>#REF!</v>
      </c>
      <c r="R42" t="e">
        <f t="shared" si="4"/>
        <v>#REF!</v>
      </c>
      <c r="S42" t="e">
        <f t="shared" si="4"/>
        <v>#REF!</v>
      </c>
      <c r="T42" t="e">
        <f t="shared" si="4"/>
        <v>#REF!</v>
      </c>
      <c r="U42" t="e">
        <f t="shared" si="4"/>
        <v>#REF!</v>
      </c>
    </row>
    <row r="44" spans="5:21" x14ac:dyDescent="0.3">
      <c r="E44" s="112" t="s">
        <v>52</v>
      </c>
      <c r="I44" s="121" t="e">
        <f>HLOOKUP(I$42,$I$26:$BA$28,2,FALSE)</f>
        <v>#REF!</v>
      </c>
      <c r="J44" s="121" t="e">
        <f t="shared" ref="J44:U44" si="5">HLOOKUP(J$42,$I$26:$BA$28,2,FALSE)</f>
        <v>#REF!</v>
      </c>
      <c r="K44" s="121" t="e">
        <f t="shared" si="5"/>
        <v>#REF!</v>
      </c>
      <c r="L44" s="121" t="e">
        <f t="shared" si="5"/>
        <v>#REF!</v>
      </c>
      <c r="M44" s="121" t="e">
        <f t="shared" si="5"/>
        <v>#REF!</v>
      </c>
      <c r="N44" s="121" t="e">
        <f t="shared" si="5"/>
        <v>#REF!</v>
      </c>
      <c r="O44" s="121" t="e">
        <f t="shared" si="5"/>
        <v>#REF!</v>
      </c>
      <c r="P44" s="121" t="e">
        <f t="shared" si="5"/>
        <v>#REF!</v>
      </c>
      <c r="Q44" s="121" t="e">
        <f t="shared" si="5"/>
        <v>#REF!</v>
      </c>
      <c r="R44" s="121" t="e">
        <f t="shared" si="5"/>
        <v>#REF!</v>
      </c>
      <c r="S44" s="121" t="e">
        <f t="shared" si="5"/>
        <v>#REF!</v>
      </c>
      <c r="T44" s="121" t="e">
        <f t="shared" si="5"/>
        <v>#REF!</v>
      </c>
      <c r="U44" s="121" t="e">
        <f t="shared" si="5"/>
        <v>#REF!</v>
      </c>
    </row>
    <row r="45" spans="5:21" x14ac:dyDescent="0.3">
      <c r="E45" s="114" t="s">
        <v>53</v>
      </c>
      <c r="I45" s="121" t="e">
        <f>HLOOKUP(I$42,$I$26:$BA$28,3,FALSE)</f>
        <v>#REF!</v>
      </c>
      <c r="J45" s="121" t="e">
        <f t="shared" ref="J45:U45" si="6">HLOOKUP(J$42,$I$26:$BA$28,3,FALSE)</f>
        <v>#REF!</v>
      </c>
      <c r="K45" s="121" t="e">
        <f t="shared" si="6"/>
        <v>#REF!</v>
      </c>
      <c r="L45" s="121" t="e">
        <f t="shared" si="6"/>
        <v>#REF!</v>
      </c>
      <c r="M45" s="121" t="e">
        <f t="shared" si="6"/>
        <v>#REF!</v>
      </c>
      <c r="N45" s="121" t="e">
        <f t="shared" si="6"/>
        <v>#REF!</v>
      </c>
      <c r="O45" s="121" t="e">
        <f t="shared" si="6"/>
        <v>#REF!</v>
      </c>
      <c r="P45" s="121" t="e">
        <f t="shared" si="6"/>
        <v>#REF!</v>
      </c>
      <c r="Q45" s="121" t="e">
        <f t="shared" si="6"/>
        <v>#REF!</v>
      </c>
      <c r="R45" s="121" t="e">
        <f t="shared" si="6"/>
        <v>#REF!</v>
      </c>
      <c r="S45" s="121" t="e">
        <f t="shared" si="6"/>
        <v>#REF!</v>
      </c>
      <c r="T45" s="121" t="e">
        <f t="shared" si="6"/>
        <v>#REF!</v>
      </c>
      <c r="U45" s="121" t="e">
        <f t="shared" si="6"/>
        <v>#REF!</v>
      </c>
    </row>
    <row r="47" spans="5:21" x14ac:dyDescent="0.3">
      <c r="E47" s="63" t="s">
        <v>54</v>
      </c>
    </row>
    <row r="49" spans="5:21" x14ac:dyDescent="0.3">
      <c r="E49" t="s">
        <v>44</v>
      </c>
      <c r="F49" t="e">
        <f>#REF!</f>
        <v>#REF!</v>
      </c>
      <c r="G49" t="s">
        <v>45</v>
      </c>
    </row>
    <row r="50" spans="5:21" x14ac:dyDescent="0.3">
      <c r="E50" t="s">
        <v>46</v>
      </c>
      <c r="F50" t="e">
        <f>#REF!</f>
        <v>#REF!</v>
      </c>
      <c r="G50" t="s">
        <v>45</v>
      </c>
    </row>
    <row r="52" spans="5:21" x14ac:dyDescent="0.3">
      <c r="E52" s="113" t="s">
        <v>47</v>
      </c>
      <c r="F52" s="113" t="e">
        <f>F54-F53</f>
        <v>#REF!</v>
      </c>
    </row>
    <row r="53" spans="5:21" x14ac:dyDescent="0.3">
      <c r="E53" s="113" t="s">
        <v>48</v>
      </c>
      <c r="F53" s="113" t="e">
        <f>#REF!</f>
        <v>#REF!</v>
      </c>
    </row>
    <row r="54" spans="5:21" x14ac:dyDescent="0.3">
      <c r="E54" s="113" t="s">
        <v>49</v>
      </c>
      <c r="F54" s="113" t="e">
        <f>#REF!</f>
        <v>#REF!</v>
      </c>
    </row>
    <row r="56" spans="5:21" x14ac:dyDescent="0.3">
      <c r="E56" t="s">
        <v>50</v>
      </c>
      <c r="I56" t="e">
        <f>($F$54-$F$53-$F$52)+0</f>
        <v>#REF!</v>
      </c>
      <c r="J56" t="e">
        <f>($F$54-$F$53-$F$52)+(I$56+1)</f>
        <v>#REF!</v>
      </c>
      <c r="K56" t="e">
        <f t="shared" ref="K56:U56" si="7">($F$54-$F$53-$F$52)+(J$56+1)</f>
        <v>#REF!</v>
      </c>
      <c r="L56" t="e">
        <f t="shared" si="7"/>
        <v>#REF!</v>
      </c>
      <c r="M56" t="e">
        <f t="shared" si="7"/>
        <v>#REF!</v>
      </c>
      <c r="N56" t="e">
        <f t="shared" si="7"/>
        <v>#REF!</v>
      </c>
      <c r="O56" t="e">
        <f t="shared" si="7"/>
        <v>#REF!</v>
      </c>
      <c r="P56" t="e">
        <f t="shared" si="7"/>
        <v>#REF!</v>
      </c>
      <c r="Q56" t="e">
        <f t="shared" si="7"/>
        <v>#REF!</v>
      </c>
      <c r="R56" t="e">
        <f t="shared" si="7"/>
        <v>#REF!</v>
      </c>
      <c r="S56" t="e">
        <f t="shared" si="7"/>
        <v>#REF!</v>
      </c>
      <c r="T56" t="e">
        <f t="shared" si="7"/>
        <v>#REF!</v>
      </c>
      <c r="U56" t="e">
        <f t="shared" si="7"/>
        <v>#REF!</v>
      </c>
    </row>
    <row r="57" spans="5:21" x14ac:dyDescent="0.3">
      <c r="E57" t="s">
        <v>51</v>
      </c>
      <c r="I57" t="e">
        <f>$F$34+I$56</f>
        <v>#REF!</v>
      </c>
      <c r="J57" t="e">
        <f t="shared" ref="J57:U57" si="8">$F$34+J$56</f>
        <v>#REF!</v>
      </c>
      <c r="K57" t="e">
        <f t="shared" si="8"/>
        <v>#REF!</v>
      </c>
      <c r="L57" t="e">
        <f t="shared" si="8"/>
        <v>#REF!</v>
      </c>
      <c r="M57" t="e">
        <f t="shared" si="8"/>
        <v>#REF!</v>
      </c>
      <c r="N57" t="e">
        <f t="shared" si="8"/>
        <v>#REF!</v>
      </c>
      <c r="O57" t="e">
        <f t="shared" si="8"/>
        <v>#REF!</v>
      </c>
      <c r="P57" t="e">
        <f t="shared" si="8"/>
        <v>#REF!</v>
      </c>
      <c r="Q57" t="e">
        <f t="shared" si="8"/>
        <v>#REF!</v>
      </c>
      <c r="R57" t="e">
        <f t="shared" si="8"/>
        <v>#REF!</v>
      </c>
      <c r="S57" t="e">
        <f t="shared" si="8"/>
        <v>#REF!</v>
      </c>
      <c r="T57" t="e">
        <f t="shared" si="8"/>
        <v>#REF!</v>
      </c>
      <c r="U57" t="e">
        <f t="shared" si="8"/>
        <v>#REF!</v>
      </c>
    </row>
    <row r="59" spans="5:21" x14ac:dyDescent="0.3">
      <c r="E59" s="112" t="str">
        <f>E8</f>
        <v>Operational Time Savings - Vehicle Operators</v>
      </c>
      <c r="F59" s="120" t="e">
        <f>MROUND(SUM(I59:U59),1000)</f>
        <v>#REF!</v>
      </c>
      <c r="I59" s="116" t="e">
        <f t="shared" ref="I59:U59" si="9">HLOOKUP(I$57,$I$3:$BA$23,6,FALSE)</f>
        <v>#REF!</v>
      </c>
      <c r="J59" s="116" t="e">
        <f t="shared" si="9"/>
        <v>#REF!</v>
      </c>
      <c r="K59" s="116" t="e">
        <f t="shared" si="9"/>
        <v>#REF!</v>
      </c>
      <c r="L59" s="116" t="e">
        <f t="shared" si="9"/>
        <v>#REF!</v>
      </c>
      <c r="M59" s="116" t="e">
        <f t="shared" si="9"/>
        <v>#REF!</v>
      </c>
      <c r="N59" s="116" t="e">
        <f t="shared" si="9"/>
        <v>#REF!</v>
      </c>
      <c r="O59" s="116" t="e">
        <f t="shared" si="9"/>
        <v>#REF!</v>
      </c>
      <c r="P59" s="116" t="e">
        <f t="shared" si="9"/>
        <v>#REF!</v>
      </c>
      <c r="Q59" s="116" t="e">
        <f t="shared" si="9"/>
        <v>#REF!</v>
      </c>
      <c r="R59" s="116" t="e">
        <f t="shared" si="9"/>
        <v>#REF!</v>
      </c>
      <c r="S59" s="116" t="e">
        <f t="shared" si="9"/>
        <v>#REF!</v>
      </c>
      <c r="T59" s="116" t="e">
        <f t="shared" si="9"/>
        <v>#REF!</v>
      </c>
      <c r="U59" s="116" t="e">
        <f t="shared" si="9"/>
        <v>#REF!</v>
      </c>
    </row>
    <row r="60" spans="5:21" x14ac:dyDescent="0.3">
      <c r="E60" s="112" t="str">
        <f>E9</f>
        <v>Operational Time Savings - Maintenance Staff</v>
      </c>
      <c r="F60" s="120" t="e">
        <f>MROUND(SUM(I60:U60),1000)</f>
        <v>#REF!</v>
      </c>
      <c r="I60" s="116" t="e">
        <f t="shared" ref="I60:U60" si="10">HLOOKUP(I$57,$I$3:$BA$23,7,FALSE)</f>
        <v>#REF!</v>
      </c>
      <c r="J60" s="116" t="e">
        <f t="shared" si="10"/>
        <v>#REF!</v>
      </c>
      <c r="K60" s="116" t="e">
        <f t="shared" si="10"/>
        <v>#REF!</v>
      </c>
      <c r="L60" s="116" t="e">
        <f t="shared" si="10"/>
        <v>#REF!</v>
      </c>
      <c r="M60" s="116" t="e">
        <f t="shared" si="10"/>
        <v>#REF!</v>
      </c>
      <c r="N60" s="116" t="e">
        <f t="shared" si="10"/>
        <v>#REF!</v>
      </c>
      <c r="O60" s="116" t="e">
        <f t="shared" si="10"/>
        <v>#REF!</v>
      </c>
      <c r="P60" s="116" t="e">
        <f t="shared" si="10"/>
        <v>#REF!</v>
      </c>
      <c r="Q60" s="116" t="e">
        <f t="shared" si="10"/>
        <v>#REF!</v>
      </c>
      <c r="R60" s="116" t="e">
        <f t="shared" si="10"/>
        <v>#REF!</v>
      </c>
      <c r="S60" s="116" t="e">
        <f t="shared" si="10"/>
        <v>#REF!</v>
      </c>
      <c r="T60" s="116" t="e">
        <f t="shared" si="10"/>
        <v>#REF!</v>
      </c>
      <c r="U60" s="116" t="e">
        <f t="shared" si="10"/>
        <v>#REF!</v>
      </c>
    </row>
    <row r="61" spans="5:21" x14ac:dyDescent="0.3">
      <c r="E61" s="112" t="e">
        <f>E10</f>
        <v>#REF!</v>
      </c>
      <c r="F61" s="120" t="e">
        <f>MROUND(SUM(I61:U61),1000)</f>
        <v>#REF!</v>
      </c>
      <c r="I61" s="116" t="e">
        <f t="shared" ref="I61:U61" si="11">HLOOKUP(I$57,$I$3:$BA$23,8,FALSE)</f>
        <v>#REF!</v>
      </c>
      <c r="J61" s="116" t="e">
        <f t="shared" si="11"/>
        <v>#REF!</v>
      </c>
      <c r="K61" s="116" t="e">
        <f t="shared" si="11"/>
        <v>#REF!</v>
      </c>
      <c r="L61" s="116" t="e">
        <f t="shared" si="11"/>
        <v>#REF!</v>
      </c>
      <c r="M61" s="116" t="e">
        <f t="shared" si="11"/>
        <v>#REF!</v>
      </c>
      <c r="N61" s="116" t="e">
        <f t="shared" si="11"/>
        <v>#REF!</v>
      </c>
      <c r="O61" s="116" t="e">
        <f t="shared" si="11"/>
        <v>#REF!</v>
      </c>
      <c r="P61" s="116" t="e">
        <f t="shared" si="11"/>
        <v>#REF!</v>
      </c>
      <c r="Q61" s="116" t="e">
        <f t="shared" si="11"/>
        <v>#REF!</v>
      </c>
      <c r="R61" s="116" t="e">
        <f t="shared" si="11"/>
        <v>#REF!</v>
      </c>
      <c r="S61" s="116" t="e">
        <f t="shared" si="11"/>
        <v>#REF!</v>
      </c>
      <c r="T61" s="116" t="e">
        <f t="shared" si="11"/>
        <v>#REF!</v>
      </c>
      <c r="U61" s="116" t="e">
        <f t="shared" si="11"/>
        <v>#REF!</v>
      </c>
    </row>
    <row r="62" spans="5:21" x14ac:dyDescent="0.3">
      <c r="E62" s="112" t="str">
        <f>E11</f>
        <v>Safety Benefits</v>
      </c>
      <c r="F62" s="120" t="e">
        <f>MROUND(SUM(I62:U62),1000)</f>
        <v>#REF!</v>
      </c>
      <c r="I62" s="116" t="e">
        <f t="shared" ref="I62:U62" si="12">HLOOKUP(I$57,$I$3:$BA$23,9,FALSE)</f>
        <v>#REF!</v>
      </c>
      <c r="J62" s="116" t="e">
        <f t="shared" si="12"/>
        <v>#REF!</v>
      </c>
      <c r="K62" s="116" t="e">
        <f t="shared" si="12"/>
        <v>#REF!</v>
      </c>
      <c r="L62" s="116" t="e">
        <f t="shared" si="12"/>
        <v>#REF!</v>
      </c>
      <c r="M62" s="116" t="e">
        <f t="shared" si="12"/>
        <v>#REF!</v>
      </c>
      <c r="N62" s="116" t="e">
        <f t="shared" si="12"/>
        <v>#REF!</v>
      </c>
      <c r="O62" s="116" t="e">
        <f t="shared" si="12"/>
        <v>#REF!</v>
      </c>
      <c r="P62" s="116" t="e">
        <f t="shared" si="12"/>
        <v>#REF!</v>
      </c>
      <c r="Q62" s="116" t="e">
        <f t="shared" si="12"/>
        <v>#REF!</v>
      </c>
      <c r="R62" s="116" t="e">
        <f t="shared" si="12"/>
        <v>#REF!</v>
      </c>
      <c r="S62" s="116" t="e">
        <f t="shared" si="12"/>
        <v>#REF!</v>
      </c>
      <c r="T62" s="116" t="e">
        <f t="shared" si="12"/>
        <v>#REF!</v>
      </c>
      <c r="U62" s="116" t="e">
        <f t="shared" si="12"/>
        <v>#REF!</v>
      </c>
    </row>
    <row r="63" spans="5:21" x14ac:dyDescent="0.3">
      <c r="E63" s="112" t="str">
        <f>E12</f>
        <v>Liability and Casualty Cost Savings</v>
      </c>
      <c r="F63" s="120" t="e">
        <f>MROUND(SUM(I63:U63),1000)</f>
        <v>#REF!</v>
      </c>
      <c r="I63" s="116" t="e">
        <f t="shared" ref="I63:U63" si="13">HLOOKUP(I$57,$I$3:$BA$23,10,FALSE)</f>
        <v>#REF!</v>
      </c>
      <c r="J63" s="116" t="e">
        <f t="shared" si="13"/>
        <v>#REF!</v>
      </c>
      <c r="K63" s="116" t="e">
        <f t="shared" si="13"/>
        <v>#REF!</v>
      </c>
      <c r="L63" s="116" t="e">
        <f t="shared" si="13"/>
        <v>#REF!</v>
      </c>
      <c r="M63" s="116" t="e">
        <f t="shared" si="13"/>
        <v>#REF!</v>
      </c>
      <c r="N63" s="116" t="e">
        <f t="shared" si="13"/>
        <v>#REF!</v>
      </c>
      <c r="O63" s="116" t="e">
        <f t="shared" si="13"/>
        <v>#REF!</v>
      </c>
      <c r="P63" s="116" t="e">
        <f t="shared" si="13"/>
        <v>#REF!</v>
      </c>
      <c r="Q63" s="116" t="e">
        <f t="shared" si="13"/>
        <v>#REF!</v>
      </c>
      <c r="R63" s="116" t="e">
        <f t="shared" si="13"/>
        <v>#REF!</v>
      </c>
      <c r="S63" s="116" t="e">
        <f t="shared" si="13"/>
        <v>#REF!</v>
      </c>
      <c r="T63" s="116" t="e">
        <f t="shared" si="13"/>
        <v>#REF!</v>
      </c>
      <c r="U63" s="116" t="e">
        <f t="shared" si="13"/>
        <v>#REF!</v>
      </c>
    </row>
    <row r="64" spans="5:21" x14ac:dyDescent="0.3">
      <c r="E64" s="112"/>
      <c r="F64" s="120"/>
      <c r="I64" s="116"/>
      <c r="J64" s="116"/>
      <c r="K64" s="116"/>
      <c r="L64" s="116"/>
      <c r="M64" s="116"/>
      <c r="N64" s="116"/>
      <c r="O64" s="116"/>
      <c r="P64" s="116"/>
      <c r="Q64" s="116"/>
      <c r="R64" s="116"/>
      <c r="S64" s="116"/>
      <c r="T64" s="116"/>
      <c r="U64" s="116"/>
    </row>
    <row r="65" spans="5:21" x14ac:dyDescent="0.3">
      <c r="E65" s="112" t="s">
        <v>55</v>
      </c>
      <c r="F65" s="120"/>
      <c r="I65" s="116" t="e">
        <f>SUM(I59:I63)</f>
        <v>#REF!</v>
      </c>
      <c r="J65" s="116" t="e">
        <f t="shared" ref="J65:U65" si="14">SUM(J59:J63)</f>
        <v>#REF!</v>
      </c>
      <c r="K65" s="116" t="e">
        <f t="shared" si="14"/>
        <v>#REF!</v>
      </c>
      <c r="L65" s="116" t="e">
        <f t="shared" si="14"/>
        <v>#REF!</v>
      </c>
      <c r="M65" s="116" t="e">
        <f t="shared" si="14"/>
        <v>#REF!</v>
      </c>
      <c r="N65" s="116" t="e">
        <f t="shared" si="14"/>
        <v>#REF!</v>
      </c>
      <c r="O65" s="116" t="e">
        <f t="shared" si="14"/>
        <v>#REF!</v>
      </c>
      <c r="P65" s="116" t="e">
        <f t="shared" si="14"/>
        <v>#REF!</v>
      </c>
      <c r="Q65" s="116" t="e">
        <f t="shared" si="14"/>
        <v>#REF!</v>
      </c>
      <c r="R65" s="116" t="e">
        <f t="shared" si="14"/>
        <v>#REF!</v>
      </c>
      <c r="S65" s="116" t="e">
        <f t="shared" si="14"/>
        <v>#REF!</v>
      </c>
      <c r="T65" s="116" t="e">
        <f t="shared" si="14"/>
        <v>#REF!</v>
      </c>
      <c r="U65" s="116" t="e">
        <f t="shared" si="14"/>
        <v>#REF!</v>
      </c>
    </row>
    <row r="66" spans="5:21" x14ac:dyDescent="0.3">
      <c r="E66" s="112"/>
    </row>
    <row r="67" spans="5:21" x14ac:dyDescent="0.3">
      <c r="E67" s="112" t="str">
        <f>E9</f>
        <v>Operational Time Savings - Maintenance Staff</v>
      </c>
      <c r="I67" s="121" t="e">
        <f>I60</f>
        <v>#REF!</v>
      </c>
      <c r="J67" s="121" t="e">
        <f>SUM(I60:J60)</f>
        <v>#REF!</v>
      </c>
      <c r="K67" s="121" t="e">
        <f>SUM(I60:K60)</f>
        <v>#REF!</v>
      </c>
      <c r="L67" s="121" t="e">
        <f>SUM(I60:L60)</f>
        <v>#REF!</v>
      </c>
      <c r="M67" s="121" t="e">
        <f>SUM(I60:M60)</f>
        <v>#REF!</v>
      </c>
      <c r="N67" s="121" t="e">
        <f>SUM(I60:N60)</f>
        <v>#REF!</v>
      </c>
      <c r="O67" s="121" t="e">
        <f>SUM(I60:O60)</f>
        <v>#REF!</v>
      </c>
      <c r="P67" s="121" t="e">
        <f>SUM(I60:P60)</f>
        <v>#REF!</v>
      </c>
      <c r="Q67" s="121" t="e">
        <f>SUM(I60:Q60)</f>
        <v>#REF!</v>
      </c>
      <c r="R67" s="121" t="e">
        <f>SUM(I60:R60)</f>
        <v>#REF!</v>
      </c>
      <c r="S67" s="121" t="e">
        <f>SUM(I60:S60)</f>
        <v>#REF!</v>
      </c>
      <c r="T67" s="121" t="e">
        <f>SUM(I60:T60)</f>
        <v>#REF!</v>
      </c>
      <c r="U67" s="121" t="e">
        <f>SUM(I60:U60)</f>
        <v>#REF!</v>
      </c>
    </row>
    <row r="68" spans="5:21" x14ac:dyDescent="0.3">
      <c r="E68" s="112" t="str">
        <f>E8</f>
        <v>Operational Time Savings - Vehicle Operators</v>
      </c>
      <c r="I68" s="121" t="e">
        <f>I59</f>
        <v>#REF!</v>
      </c>
      <c r="J68" s="121" t="e">
        <f>SUM(I59:J59)</f>
        <v>#REF!</v>
      </c>
      <c r="K68" s="121" t="e">
        <f>SUM(I59:K59)</f>
        <v>#REF!</v>
      </c>
      <c r="L68" s="121" t="e">
        <f>SUM(I59:L59)</f>
        <v>#REF!</v>
      </c>
      <c r="M68" s="121" t="e">
        <f>SUM(I59:M59)</f>
        <v>#REF!</v>
      </c>
      <c r="N68" s="121" t="e">
        <f>SUM(I59:N59)</f>
        <v>#REF!</v>
      </c>
      <c r="O68" s="121" t="e">
        <f>SUM(I59:O59)</f>
        <v>#REF!</v>
      </c>
      <c r="P68" s="121" t="e">
        <f>SUM(I59:P59)</f>
        <v>#REF!</v>
      </c>
      <c r="Q68" s="121" t="e">
        <f>SUM(I59:Q59)</f>
        <v>#REF!</v>
      </c>
      <c r="R68" s="121" t="e">
        <f>SUM(I59:R59)</f>
        <v>#REF!</v>
      </c>
      <c r="S68" s="121" t="e">
        <f>SUM(I59:S59)</f>
        <v>#REF!</v>
      </c>
      <c r="T68" s="121" t="e">
        <f>SUM(I59:T59)</f>
        <v>#REF!</v>
      </c>
      <c r="U68" s="121" t="e">
        <f>SUM(I59:U59)</f>
        <v>#REF!</v>
      </c>
    </row>
    <row r="69" spans="5:21" x14ac:dyDescent="0.3">
      <c r="E69" s="112" t="str">
        <f>E12</f>
        <v>Liability and Casualty Cost Savings</v>
      </c>
      <c r="I69" s="121" t="e">
        <f>I63</f>
        <v>#REF!</v>
      </c>
      <c r="J69" s="121" t="e">
        <f>SUM(I63:J63)</f>
        <v>#REF!</v>
      </c>
      <c r="K69" s="121" t="e">
        <f>SUM(I63:K63)</f>
        <v>#REF!</v>
      </c>
      <c r="L69" s="121" t="e">
        <f>SUM(I63:L63)</f>
        <v>#REF!</v>
      </c>
      <c r="M69" s="121" t="e">
        <f>SUM(I63:M63)</f>
        <v>#REF!</v>
      </c>
      <c r="N69" s="121" t="e">
        <f>SUM(I63:N63)</f>
        <v>#REF!</v>
      </c>
      <c r="O69" s="121" t="e">
        <f>SUM(I63:O63)</f>
        <v>#REF!</v>
      </c>
      <c r="P69" s="121" t="e">
        <f>SUM(I63:P63)</f>
        <v>#REF!</v>
      </c>
      <c r="Q69" s="121" t="e">
        <f>SUM(I63:Q63)</f>
        <v>#REF!</v>
      </c>
      <c r="R69" s="121" t="e">
        <f>SUM(I63:R63)</f>
        <v>#REF!</v>
      </c>
      <c r="S69" s="121" t="e">
        <f>SUM(I63:S63)</f>
        <v>#REF!</v>
      </c>
      <c r="T69" s="121" t="e">
        <f>SUM(I63:T63)</f>
        <v>#REF!</v>
      </c>
      <c r="U69" s="121" t="e">
        <f>SUM(I63:U63)</f>
        <v>#REF!</v>
      </c>
    </row>
    <row r="70" spans="5:21" x14ac:dyDescent="0.3">
      <c r="E70" s="112" t="str">
        <f>E11</f>
        <v>Safety Benefits</v>
      </c>
      <c r="I70" s="121" t="e">
        <f>I62</f>
        <v>#REF!</v>
      </c>
      <c r="J70" s="121" t="e">
        <f>SUM(I62:J62)</f>
        <v>#REF!</v>
      </c>
      <c r="K70" s="121" t="e">
        <f>SUM(I62:K62)</f>
        <v>#REF!</v>
      </c>
      <c r="L70" s="121" t="e">
        <f>SUM(I62:L62)</f>
        <v>#REF!</v>
      </c>
      <c r="M70" s="121" t="e">
        <f>SUM(I62:M62)</f>
        <v>#REF!</v>
      </c>
      <c r="N70" s="121" t="e">
        <f>SUM(I62:N62)</f>
        <v>#REF!</v>
      </c>
      <c r="O70" s="121" t="e">
        <f>SUM(I62:O62)</f>
        <v>#REF!</v>
      </c>
      <c r="P70" s="121" t="e">
        <f>SUM(I62:P62)</f>
        <v>#REF!</v>
      </c>
      <c r="Q70" s="121" t="e">
        <f>SUM(I62:Q62)</f>
        <v>#REF!</v>
      </c>
      <c r="R70" s="121" t="e">
        <f>SUM(I62:R62)</f>
        <v>#REF!</v>
      </c>
      <c r="S70" s="121" t="e">
        <f>SUM(I62:S62)</f>
        <v>#REF!</v>
      </c>
      <c r="T70" s="121" t="e">
        <f>SUM(I62:T62)</f>
        <v>#REF!</v>
      </c>
      <c r="U70" s="121" t="e">
        <f>SUM(I62:U62)</f>
        <v>#REF!</v>
      </c>
    </row>
    <row r="71" spans="5:21" x14ac:dyDescent="0.3">
      <c r="E71" s="112" t="e">
        <f>E10</f>
        <v>#REF!</v>
      </c>
      <c r="I71" s="121" t="e">
        <f>I61</f>
        <v>#REF!</v>
      </c>
      <c r="J71" s="121" t="e">
        <f>SUM(I61:J61)</f>
        <v>#REF!</v>
      </c>
      <c r="K71" s="121" t="e">
        <f>SUM(I61:K61)</f>
        <v>#REF!</v>
      </c>
      <c r="L71" s="121" t="e">
        <f>SUM(I61:L61)</f>
        <v>#REF!</v>
      </c>
      <c r="M71" s="121" t="e">
        <f>SUM(I61:M61)</f>
        <v>#REF!</v>
      </c>
      <c r="N71" s="121" t="e">
        <f>SUM(I61:N61)</f>
        <v>#REF!</v>
      </c>
      <c r="O71" s="121" t="e">
        <f>SUM(I61:O61)</f>
        <v>#REF!</v>
      </c>
      <c r="P71" s="121" t="e">
        <f>SUM(I61:P61)</f>
        <v>#REF!</v>
      </c>
      <c r="Q71" s="121" t="e">
        <f>SUM(I61:Q61)</f>
        <v>#REF!</v>
      </c>
      <c r="R71" s="121" t="e">
        <f>SUM(I61:R61)</f>
        <v>#REF!</v>
      </c>
      <c r="S71" s="121" t="e">
        <f>SUM(I61:S61)</f>
        <v>#REF!</v>
      </c>
      <c r="T71" s="121" t="e">
        <f>SUM(I61:T61)</f>
        <v>#REF!</v>
      </c>
      <c r="U71" s="121" t="e">
        <f>SUM(I61:U61)</f>
        <v>#REF!</v>
      </c>
    </row>
    <row r="72" spans="5:21" x14ac:dyDescent="0.3">
      <c r="E72" s="112"/>
    </row>
    <row r="73" spans="5:21" x14ac:dyDescent="0.3">
      <c r="E73" s="115" t="s">
        <v>56</v>
      </c>
    </row>
    <row r="74" spans="5:21" x14ac:dyDescent="0.3">
      <c r="E74" s="112"/>
    </row>
    <row r="75" spans="5:21" x14ac:dyDescent="0.3">
      <c r="E75" t="s">
        <v>44</v>
      </c>
      <c r="F75" t="e">
        <f>#REF!</f>
        <v>#REF!</v>
      </c>
      <c r="G75" t="s">
        <v>45</v>
      </c>
    </row>
    <row r="76" spans="5:21" x14ac:dyDescent="0.3">
      <c r="E76" t="s">
        <v>46</v>
      </c>
      <c r="F76" t="e">
        <f>#REF!</f>
        <v>#REF!</v>
      </c>
      <c r="G76" t="s">
        <v>45</v>
      </c>
    </row>
    <row r="78" spans="5:21" x14ac:dyDescent="0.3">
      <c r="E78" s="113" t="s">
        <v>47</v>
      </c>
      <c r="F78" s="113" t="e">
        <f>F80-F79</f>
        <v>#REF!</v>
      </c>
    </row>
    <row r="79" spans="5:21" x14ac:dyDescent="0.3">
      <c r="E79" s="113" t="s">
        <v>48</v>
      </c>
      <c r="F79" s="113" t="e">
        <f>#REF!</f>
        <v>#REF!</v>
      </c>
    </row>
    <row r="80" spans="5:21" x14ac:dyDescent="0.3">
      <c r="E80" s="113" t="s">
        <v>49</v>
      </c>
      <c r="F80" s="113" t="e">
        <f>#REF!</f>
        <v>#REF!</v>
      </c>
    </row>
    <row r="82" spans="5:21" x14ac:dyDescent="0.3">
      <c r="E82" t="s">
        <v>50</v>
      </c>
      <c r="I82" t="e">
        <f>($F$54-$F$53-$F$52)+0</f>
        <v>#REF!</v>
      </c>
      <c r="J82" t="e">
        <f>($F$54-$F$53-$F$52)+(I$56+1)</f>
        <v>#REF!</v>
      </c>
      <c r="K82" t="e">
        <f t="shared" ref="K82:U82" si="15">($F$54-$F$53-$F$52)+(J$56+1)</f>
        <v>#REF!</v>
      </c>
      <c r="L82" t="e">
        <f t="shared" si="15"/>
        <v>#REF!</v>
      </c>
      <c r="M82" t="e">
        <f t="shared" si="15"/>
        <v>#REF!</v>
      </c>
      <c r="N82" t="e">
        <f t="shared" si="15"/>
        <v>#REF!</v>
      </c>
      <c r="O82" t="e">
        <f t="shared" si="15"/>
        <v>#REF!</v>
      </c>
      <c r="P82" t="e">
        <f t="shared" si="15"/>
        <v>#REF!</v>
      </c>
      <c r="Q82" t="e">
        <f t="shared" si="15"/>
        <v>#REF!</v>
      </c>
      <c r="R82" t="e">
        <f t="shared" si="15"/>
        <v>#REF!</v>
      </c>
      <c r="S82" t="e">
        <f t="shared" si="15"/>
        <v>#REF!</v>
      </c>
      <c r="T82" t="e">
        <f t="shared" si="15"/>
        <v>#REF!</v>
      </c>
      <c r="U82" t="e">
        <f t="shared" si="15"/>
        <v>#REF!</v>
      </c>
    </row>
    <row r="83" spans="5:21" x14ac:dyDescent="0.3">
      <c r="E83" t="s">
        <v>51</v>
      </c>
      <c r="I83" t="e">
        <f>$F$34+I$56</f>
        <v>#REF!</v>
      </c>
      <c r="J83" t="e">
        <f t="shared" ref="J83:U83" si="16">$F$34+J$56</f>
        <v>#REF!</v>
      </c>
      <c r="K83" t="e">
        <f t="shared" si="16"/>
        <v>#REF!</v>
      </c>
      <c r="L83" t="e">
        <f t="shared" si="16"/>
        <v>#REF!</v>
      </c>
      <c r="M83" t="e">
        <f t="shared" si="16"/>
        <v>#REF!</v>
      </c>
      <c r="N83" t="e">
        <f t="shared" si="16"/>
        <v>#REF!</v>
      </c>
      <c r="O83" t="e">
        <f t="shared" si="16"/>
        <v>#REF!</v>
      </c>
      <c r="P83" t="e">
        <f t="shared" si="16"/>
        <v>#REF!</v>
      </c>
      <c r="Q83" t="e">
        <f t="shared" si="16"/>
        <v>#REF!</v>
      </c>
      <c r="R83" t="e">
        <f t="shared" si="16"/>
        <v>#REF!</v>
      </c>
      <c r="S83" t="e">
        <f t="shared" si="16"/>
        <v>#REF!</v>
      </c>
      <c r="T83" t="e">
        <f t="shared" si="16"/>
        <v>#REF!</v>
      </c>
      <c r="U83" t="e">
        <f t="shared" si="16"/>
        <v>#REF!</v>
      </c>
    </row>
    <row r="85" spans="5:21" x14ac:dyDescent="0.3">
      <c r="E85" s="114" t="str">
        <f>E17</f>
        <v>Capital Costs</v>
      </c>
      <c r="I85" s="116" t="e">
        <f>HLOOKUP(I$57,$I$3:$BA$23,15,FALSE)</f>
        <v>#REF!</v>
      </c>
      <c r="J85" s="116" t="e">
        <f t="shared" ref="J85:U85" si="17">HLOOKUP(J$57,$I$3:$BA$23,15,FALSE)</f>
        <v>#REF!</v>
      </c>
      <c r="K85" s="116" t="e">
        <f t="shared" si="17"/>
        <v>#REF!</v>
      </c>
      <c r="L85" s="116" t="e">
        <f t="shared" si="17"/>
        <v>#REF!</v>
      </c>
      <c r="M85" s="116" t="e">
        <f t="shared" si="17"/>
        <v>#REF!</v>
      </c>
      <c r="N85" s="116" t="e">
        <f t="shared" si="17"/>
        <v>#REF!</v>
      </c>
      <c r="O85" s="116" t="e">
        <f t="shared" si="17"/>
        <v>#REF!</v>
      </c>
      <c r="P85" s="116" t="e">
        <f t="shared" si="17"/>
        <v>#REF!</v>
      </c>
      <c r="Q85" s="116" t="e">
        <f t="shared" si="17"/>
        <v>#REF!</v>
      </c>
      <c r="R85" s="116" t="e">
        <f t="shared" si="17"/>
        <v>#REF!</v>
      </c>
      <c r="S85" s="116" t="e">
        <f t="shared" si="17"/>
        <v>#REF!</v>
      </c>
      <c r="T85" s="116" t="e">
        <f t="shared" si="17"/>
        <v>#REF!</v>
      </c>
      <c r="U85" s="116" t="e">
        <f t="shared" si="17"/>
        <v>#REF!</v>
      </c>
    </row>
    <row r="86" spans="5:21" x14ac:dyDescent="0.3">
      <c r="E86" s="114" t="str">
        <f>E18</f>
        <v>O&amp;M Costs</v>
      </c>
      <c r="I86" s="116" t="e">
        <f>HLOOKUP(I$57,$I$3:$BA$23,16,FALSE)</f>
        <v>#REF!</v>
      </c>
      <c r="J86" s="116" t="e">
        <f t="shared" ref="J86:U86" si="18">HLOOKUP(J$57,$I$3:$BA$23,16,FALSE)</f>
        <v>#REF!</v>
      </c>
      <c r="K86" s="116" t="e">
        <f t="shared" si="18"/>
        <v>#REF!</v>
      </c>
      <c r="L86" s="116" t="e">
        <f t="shared" si="18"/>
        <v>#REF!</v>
      </c>
      <c r="M86" s="116" t="e">
        <f t="shared" si="18"/>
        <v>#REF!</v>
      </c>
      <c r="N86" s="116" t="e">
        <f t="shared" si="18"/>
        <v>#REF!</v>
      </c>
      <c r="O86" s="116" t="e">
        <f t="shared" si="18"/>
        <v>#REF!</v>
      </c>
      <c r="P86" s="116" t="e">
        <f t="shared" si="18"/>
        <v>#REF!</v>
      </c>
      <c r="Q86" s="116" t="e">
        <f t="shared" si="18"/>
        <v>#REF!</v>
      </c>
      <c r="R86" s="116" t="e">
        <f t="shared" si="18"/>
        <v>#REF!</v>
      </c>
      <c r="S86" s="116" t="e">
        <f t="shared" si="18"/>
        <v>#REF!</v>
      </c>
      <c r="T86" s="116" t="e">
        <f t="shared" si="18"/>
        <v>#REF!</v>
      </c>
      <c r="U86" s="116" t="e">
        <f t="shared" si="18"/>
        <v>#REF!</v>
      </c>
    </row>
    <row r="87" spans="5:21" x14ac:dyDescent="0.3">
      <c r="E87" s="114" t="str">
        <f>E19</f>
        <v>Facility Cost Savings</v>
      </c>
      <c r="I87" s="116" t="e">
        <f>HLOOKUP(I$57,$I$3:$BA$23,17,FALSE)*-1</f>
        <v>#REF!</v>
      </c>
      <c r="J87" s="116" t="e">
        <f t="shared" ref="J87:U87" si="19">HLOOKUP(J$57,$I$3:$BA$23,17,FALSE)</f>
        <v>#REF!</v>
      </c>
      <c r="K87" s="116" t="e">
        <f t="shared" si="19"/>
        <v>#REF!</v>
      </c>
      <c r="L87" s="116" t="e">
        <f t="shared" si="19"/>
        <v>#REF!</v>
      </c>
      <c r="M87" s="116" t="e">
        <f t="shared" si="19"/>
        <v>#REF!</v>
      </c>
      <c r="N87" s="116" t="e">
        <f t="shared" si="19"/>
        <v>#REF!</v>
      </c>
      <c r="O87" s="116" t="e">
        <f t="shared" si="19"/>
        <v>#REF!</v>
      </c>
      <c r="P87" s="116" t="e">
        <f t="shared" si="19"/>
        <v>#REF!</v>
      </c>
      <c r="Q87" s="116" t="e">
        <f t="shared" si="19"/>
        <v>#REF!</v>
      </c>
      <c r="R87" s="116" t="e">
        <f t="shared" si="19"/>
        <v>#REF!</v>
      </c>
      <c r="S87" s="116" t="e">
        <f t="shared" si="19"/>
        <v>#REF!</v>
      </c>
      <c r="T87" s="116" t="e">
        <f t="shared" si="19"/>
        <v>#REF!</v>
      </c>
      <c r="U87" s="116" t="e">
        <f t="shared" si="19"/>
        <v>#REF!</v>
      </c>
    </row>
    <row r="88" spans="5:21" x14ac:dyDescent="0.3">
      <c r="E88" s="114" t="str">
        <f>E20</f>
        <v>Charge Management System Cost Savings</v>
      </c>
      <c r="I88" s="116" t="e">
        <f>HLOOKUP(I$57,$I$3:$BA$23,18,FALSE)</f>
        <v>#REF!</v>
      </c>
      <c r="J88" s="116" t="e">
        <f t="shared" ref="J88:U88" si="20">HLOOKUP(J$57,$I$3:$BA$23,18,FALSE)</f>
        <v>#REF!</v>
      </c>
      <c r="K88" s="116" t="e">
        <f t="shared" si="20"/>
        <v>#REF!</v>
      </c>
      <c r="L88" s="116" t="e">
        <f t="shared" si="20"/>
        <v>#REF!</v>
      </c>
      <c r="M88" s="116" t="e">
        <f t="shared" si="20"/>
        <v>#REF!</v>
      </c>
      <c r="N88" s="116" t="e">
        <f t="shared" si="20"/>
        <v>#REF!</v>
      </c>
      <c r="O88" s="116" t="e">
        <f t="shared" si="20"/>
        <v>#REF!</v>
      </c>
      <c r="P88" s="116" t="e">
        <f t="shared" si="20"/>
        <v>#REF!</v>
      </c>
      <c r="Q88" s="116" t="e">
        <f t="shared" si="20"/>
        <v>#REF!</v>
      </c>
      <c r="R88" s="116" t="e">
        <f t="shared" si="20"/>
        <v>#REF!</v>
      </c>
      <c r="S88" s="116" t="e">
        <f t="shared" si="20"/>
        <v>#REF!</v>
      </c>
      <c r="T88" s="116" t="e">
        <f t="shared" si="20"/>
        <v>#REF!</v>
      </c>
      <c r="U88" s="116" t="e">
        <f t="shared" si="20"/>
        <v>#REF!</v>
      </c>
    </row>
    <row r="90" spans="5:21" x14ac:dyDescent="0.3">
      <c r="E90" t="s">
        <v>57</v>
      </c>
      <c r="I90" s="114" t="e">
        <f>SUM(I85:I88)</f>
        <v>#REF!</v>
      </c>
      <c r="J90" s="114" t="e">
        <f t="shared" ref="J90:U90" si="21">SUM(J85:J88)</f>
        <v>#REF!</v>
      </c>
      <c r="K90" s="114" t="e">
        <f t="shared" si="21"/>
        <v>#REF!</v>
      </c>
      <c r="L90" s="114" t="e">
        <f t="shared" si="21"/>
        <v>#REF!</v>
      </c>
      <c r="M90" s="114" t="e">
        <f t="shared" si="21"/>
        <v>#REF!</v>
      </c>
      <c r="N90" s="114" t="e">
        <f t="shared" si="21"/>
        <v>#REF!</v>
      </c>
      <c r="O90" s="114" t="e">
        <f t="shared" si="21"/>
        <v>#REF!</v>
      </c>
      <c r="P90" s="114" t="e">
        <f t="shared" si="21"/>
        <v>#REF!</v>
      </c>
      <c r="Q90" s="114" t="e">
        <f t="shared" si="21"/>
        <v>#REF!</v>
      </c>
      <c r="R90" s="114" t="e">
        <f t="shared" si="21"/>
        <v>#REF!</v>
      </c>
      <c r="S90" s="114" t="e">
        <f t="shared" si="21"/>
        <v>#REF!</v>
      </c>
      <c r="T90" s="114" t="e">
        <f t="shared" si="21"/>
        <v>#REF!</v>
      </c>
      <c r="U90" s="114" t="e">
        <f t="shared" si="21"/>
        <v>#REF!</v>
      </c>
    </row>
    <row r="92" spans="5:21" x14ac:dyDescent="0.3">
      <c r="E92" s="114" t="str">
        <f>E17</f>
        <v>Capital Costs</v>
      </c>
      <c r="I92" s="121" t="e">
        <f>I85</f>
        <v>#REF!</v>
      </c>
      <c r="J92" s="121" t="e">
        <f>SUM(I85:J85)</f>
        <v>#REF!</v>
      </c>
      <c r="K92" s="121" t="e">
        <f>SUM(I85:K85)</f>
        <v>#REF!</v>
      </c>
      <c r="L92" s="121" t="e">
        <f>SUM(I85:L85)</f>
        <v>#REF!</v>
      </c>
      <c r="M92" s="121" t="e">
        <f>SUM(I85:M85)</f>
        <v>#REF!</v>
      </c>
      <c r="N92" s="121" t="e">
        <f>SUM(I85:N85)</f>
        <v>#REF!</v>
      </c>
      <c r="O92" s="121" t="e">
        <f>SUM(I85:O85)</f>
        <v>#REF!</v>
      </c>
      <c r="P92" s="121" t="e">
        <f>SUM(I85:P85)</f>
        <v>#REF!</v>
      </c>
      <c r="Q92" s="121" t="e">
        <f>SUM(I85:Q85)</f>
        <v>#REF!</v>
      </c>
      <c r="R92" s="121" t="e">
        <f>SUM(I85:R85)</f>
        <v>#REF!</v>
      </c>
      <c r="S92" s="121" t="e">
        <f>SUM(I85:S85)</f>
        <v>#REF!</v>
      </c>
      <c r="T92" s="121" t="e">
        <f>SUM(I85:T85)</f>
        <v>#REF!</v>
      </c>
      <c r="U92" s="121" t="e">
        <f>SUM(I85:U85)</f>
        <v>#REF!</v>
      </c>
    </row>
    <row r="93" spans="5:21" x14ac:dyDescent="0.3">
      <c r="E93" s="114" t="str">
        <f>E18</f>
        <v>O&amp;M Costs</v>
      </c>
      <c r="I93" s="121" t="e">
        <f>I86</f>
        <v>#REF!</v>
      </c>
      <c r="J93" s="121" t="e">
        <f>SUM(I86:J86)</f>
        <v>#REF!</v>
      </c>
      <c r="K93" s="121" t="e">
        <f>SUM(I86:K86)</f>
        <v>#REF!</v>
      </c>
      <c r="L93" s="121" t="e">
        <f>SUM(I86:L86)</f>
        <v>#REF!</v>
      </c>
      <c r="M93" s="121" t="e">
        <f>SUM(I86:M86)</f>
        <v>#REF!</v>
      </c>
      <c r="N93" s="121" t="e">
        <f>SUM(I86:N86)</f>
        <v>#REF!</v>
      </c>
      <c r="O93" s="121" t="e">
        <f>SUM(I86:O86)</f>
        <v>#REF!</v>
      </c>
      <c r="P93" s="121" t="e">
        <f>SUM(I86:P86)</f>
        <v>#REF!</v>
      </c>
      <c r="Q93" s="121" t="e">
        <f>SUM(I86:Q86)</f>
        <v>#REF!</v>
      </c>
      <c r="R93" s="121" t="e">
        <f>SUM(I86:R86)</f>
        <v>#REF!</v>
      </c>
      <c r="S93" s="121" t="e">
        <f>SUM(I86:S86)</f>
        <v>#REF!</v>
      </c>
      <c r="T93" s="121" t="e">
        <f>SUM(I86:T86)</f>
        <v>#REF!</v>
      </c>
      <c r="U93" s="121" t="e">
        <f>SUM(I86:U86)</f>
        <v>#REF!</v>
      </c>
    </row>
    <row r="94" spans="5:21" x14ac:dyDescent="0.3">
      <c r="E94" s="114" t="str">
        <f>E19</f>
        <v>Facility Cost Savings</v>
      </c>
      <c r="I94" s="121" t="e">
        <f>I87</f>
        <v>#REF!</v>
      </c>
      <c r="J94" s="121" t="e">
        <f>SUM(I87:J87)</f>
        <v>#REF!</v>
      </c>
      <c r="K94" s="121" t="e">
        <f>SUM(I87:K87)</f>
        <v>#REF!</v>
      </c>
      <c r="L94" s="121" t="e">
        <f>SUM(I87:L87)</f>
        <v>#REF!</v>
      </c>
      <c r="M94" s="121" t="e">
        <f>SUM(I87:M87)</f>
        <v>#REF!</v>
      </c>
      <c r="N94" s="121" t="e">
        <f>SUM(I87:N87)</f>
        <v>#REF!</v>
      </c>
      <c r="O94" s="121" t="e">
        <f>SUM(I87:O87)</f>
        <v>#REF!</v>
      </c>
      <c r="P94" s="121" t="e">
        <f>SUM(I87:P87)</f>
        <v>#REF!</v>
      </c>
      <c r="Q94" s="121" t="e">
        <f>SUM(I87:Q87)</f>
        <v>#REF!</v>
      </c>
      <c r="R94" s="121" t="e">
        <f>SUM(I87:R87)</f>
        <v>#REF!</v>
      </c>
      <c r="S94" s="121" t="e">
        <f>SUM(I87:S87)</f>
        <v>#REF!</v>
      </c>
      <c r="T94" s="121" t="e">
        <f>SUM(I87:T87)</f>
        <v>#REF!</v>
      </c>
      <c r="U94" s="121" t="e">
        <f>SUM(I87:U87)</f>
        <v>#REF!</v>
      </c>
    </row>
    <row r="95" spans="5:21" x14ac:dyDescent="0.3">
      <c r="E95" s="114" t="str">
        <f>E20</f>
        <v>Charge Management System Cost Savings</v>
      </c>
      <c r="I95" s="121" t="e">
        <f>I88</f>
        <v>#REF!</v>
      </c>
      <c r="J95" s="121" t="e">
        <f>SUM(I88:J88)</f>
        <v>#REF!</v>
      </c>
      <c r="K95" s="121" t="e">
        <f>SUM(I88:K88)</f>
        <v>#REF!</v>
      </c>
      <c r="L95" s="121" t="e">
        <f>SUM(I88:L88)</f>
        <v>#REF!</v>
      </c>
      <c r="M95" s="121" t="e">
        <f>SUM(I88:M88)</f>
        <v>#REF!</v>
      </c>
      <c r="N95" s="121" t="e">
        <f>SUM(I88:N88)</f>
        <v>#REF!</v>
      </c>
      <c r="O95" s="121" t="e">
        <f>SUM(I88:O88)</f>
        <v>#REF!</v>
      </c>
      <c r="P95" s="121" t="e">
        <f>SUM(I88:P88)</f>
        <v>#REF!</v>
      </c>
      <c r="Q95" s="121" t="e">
        <f>SUM(I88:Q88)</f>
        <v>#REF!</v>
      </c>
      <c r="R95" s="121" t="e">
        <f>SUM(I88:R88)</f>
        <v>#REF!</v>
      </c>
      <c r="S95" s="121" t="e">
        <f>SUM(I88:S88)</f>
        <v>#REF!</v>
      </c>
      <c r="T95" s="121" t="e">
        <f>SUM(I88:T88)</f>
        <v>#REF!</v>
      </c>
      <c r="U95" s="121" t="e">
        <f>SUM(I88:U88)</f>
        <v>#REF!</v>
      </c>
    </row>
  </sheetData>
  <pageMargins left="0.7" right="0.7" top="0.75" bottom="0.75" header="0.3" footer="0.3"/>
  <pageSetup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0837A-882B-4B2F-BEFE-2777668BE6EA}">
  <sheetPr>
    <tabColor theme="3"/>
  </sheetPr>
  <dimension ref="A1:Z14"/>
  <sheetViews>
    <sheetView workbookViewId="0">
      <selection activeCell="C21" sqref="C21"/>
    </sheetView>
  </sheetViews>
  <sheetFormatPr defaultRowHeight="14.4" x14ac:dyDescent="0.3"/>
  <cols>
    <col min="1" max="15" width="44" style="123" customWidth="1"/>
    <col min="16" max="16" width="35.5546875" bestFit="1" customWidth="1"/>
    <col min="17" max="17" width="32.5546875" bestFit="1" customWidth="1"/>
    <col min="18" max="18" width="55.5546875" bestFit="1" customWidth="1"/>
    <col min="19" max="19" width="55.44140625" bestFit="1" customWidth="1"/>
    <col min="20" max="20" width="44.5546875" bestFit="1" customWidth="1"/>
    <col min="21" max="21" width="27.5546875" bestFit="1" customWidth="1"/>
    <col min="22" max="22" width="44" bestFit="1" customWidth="1"/>
    <col min="23" max="23" width="25.5546875" bestFit="1" customWidth="1"/>
    <col min="24" max="24" width="24.44140625" bestFit="1" customWidth="1"/>
    <col min="25" max="25" width="32.44140625" bestFit="1" customWidth="1"/>
    <col min="26" max="26" width="51.5546875" bestFit="1" customWidth="1"/>
  </cols>
  <sheetData>
    <row r="1" spans="1:26" ht="15" thickBot="1" x14ac:dyDescent="0.35">
      <c r="A1" s="122" t="s">
        <v>50</v>
      </c>
      <c r="B1" s="122" t="s">
        <v>51</v>
      </c>
      <c r="C1" s="122" t="s">
        <v>52</v>
      </c>
      <c r="D1" s="122" t="s">
        <v>53</v>
      </c>
      <c r="E1" s="122" t="s">
        <v>58</v>
      </c>
      <c r="F1" s="122" t="s">
        <v>59</v>
      </c>
      <c r="G1" s="122" t="s">
        <v>60</v>
      </c>
      <c r="H1" s="122" t="s">
        <v>61</v>
      </c>
      <c r="I1" s="122" t="s">
        <v>62</v>
      </c>
      <c r="J1" s="122" t="s">
        <v>63</v>
      </c>
      <c r="K1" s="122" t="s">
        <v>64</v>
      </c>
      <c r="L1" s="122" t="s">
        <v>65</v>
      </c>
      <c r="M1" s="122" t="s">
        <v>66</v>
      </c>
      <c r="N1" s="122" t="s">
        <v>67</v>
      </c>
      <c r="O1" s="122" t="s">
        <v>68</v>
      </c>
      <c r="P1" s="122" t="s">
        <v>69</v>
      </c>
      <c r="Q1" s="122" t="s">
        <v>70</v>
      </c>
      <c r="R1" s="126" t="s">
        <v>71</v>
      </c>
      <c r="S1" s="126" t="s">
        <v>72</v>
      </c>
      <c r="T1" s="126" t="s">
        <v>73</v>
      </c>
      <c r="U1" s="126" t="s">
        <v>74</v>
      </c>
      <c r="V1" s="126" t="s">
        <v>75</v>
      </c>
      <c r="W1" s="126" t="s">
        <v>76</v>
      </c>
      <c r="X1" s="126" t="s">
        <v>77</v>
      </c>
      <c r="Y1" s="126" t="s">
        <v>78</v>
      </c>
      <c r="Z1" s="127" t="s">
        <v>79</v>
      </c>
    </row>
    <row r="2" spans="1:26" ht="15" thickTop="1" x14ac:dyDescent="0.3">
      <c r="A2" s="123" t="e">
        <f>'Dashboard Data'!$I$41</f>
        <v>#REF!</v>
      </c>
      <c r="B2" s="123" t="e">
        <f>'Dashboard Data'!$I$42</f>
        <v>#REF!</v>
      </c>
      <c r="C2" s="124" t="e">
        <f>'Dashboard Data'!$I$44</f>
        <v>#REF!</v>
      </c>
      <c r="D2" s="124" t="e">
        <f>'Dashboard Data'!$I$45</f>
        <v>#REF!</v>
      </c>
      <c r="E2" s="124" t="e">
        <f>Table1[[#This Row],[Cumulative Discounted Benefits]]-Table1[[#This Row],[Cumulative Discounted Costs]]</f>
        <v>#REF!</v>
      </c>
      <c r="F2" s="125" t="e">
        <f>Table1[[#This Row],[Cumulative Discounted Benefits]]/Table1[[#This Row],[Cumulative Discounted Costs]]</f>
        <v>#REF!</v>
      </c>
      <c r="G2" s="124" t="e">
        <f>'Dashboard Data'!$I$67</f>
        <v>#REF!</v>
      </c>
      <c r="H2" s="124" t="e">
        <f>'Dashboard Data'!$I$68</f>
        <v>#REF!</v>
      </c>
      <c r="I2" s="124" t="e">
        <f>'Dashboard Data'!$I$69</f>
        <v>#REF!</v>
      </c>
      <c r="J2" s="124" t="e">
        <f>'Dashboard Data'!$I$70</f>
        <v>#REF!</v>
      </c>
      <c r="K2" s="124" t="e">
        <f>'Dashboard Data'!$I$71</f>
        <v>#REF!</v>
      </c>
      <c r="L2" s="124" t="e">
        <f>'Dashboard Data'!$I$92</f>
        <v>#REF!</v>
      </c>
      <c r="M2" s="124" t="e">
        <f>'Dashboard Data'!$I$93</f>
        <v>#REF!</v>
      </c>
      <c r="N2" s="124" t="e">
        <f>'Dashboard Data'!$I$94</f>
        <v>#REF!</v>
      </c>
      <c r="O2" s="124" t="e">
        <f>'Dashboard Data'!$I$95</f>
        <v>#REF!</v>
      </c>
      <c r="P2" s="124" t="e">
        <f>'Dashboard Data'!$I$65</f>
        <v>#REF!</v>
      </c>
      <c r="Q2" s="124" t="e">
        <f>'Dashboard Data'!$I$90</f>
        <v>#REF!</v>
      </c>
      <c r="R2" s="124" t="e">
        <f>'Dashboard Data'!$I$60</f>
        <v>#REF!</v>
      </c>
      <c r="S2" s="124" t="e">
        <f>'Dashboard Data'!$I$59</f>
        <v>#REF!</v>
      </c>
      <c r="T2" s="124" t="e">
        <f>'Dashboard Data'!$I$63</f>
        <v>#REF!</v>
      </c>
      <c r="U2" s="124" t="e">
        <f>'Dashboard Data'!$I$62</f>
        <v>#REF!</v>
      </c>
      <c r="V2" s="124" t="e">
        <f>'Dashboard Data'!$I$61</f>
        <v>#REF!</v>
      </c>
      <c r="W2" s="124" t="e">
        <f>'Dashboard Data'!$I$85</f>
        <v>#REF!</v>
      </c>
      <c r="X2" s="124" t="e">
        <f>'Dashboard Data'!$I$86</f>
        <v>#REF!</v>
      </c>
      <c r="Y2" s="124" t="e">
        <f>'Dashboard Data'!$I$87</f>
        <v>#REF!</v>
      </c>
      <c r="Z2" s="124" t="e">
        <f>'Dashboard Data'!$I$88</f>
        <v>#REF!</v>
      </c>
    </row>
    <row r="3" spans="1:26" x14ac:dyDescent="0.3">
      <c r="A3" s="123" t="e">
        <f>'Dashboard Data'!$J$41</f>
        <v>#REF!</v>
      </c>
      <c r="B3" s="123" t="e">
        <f>'Dashboard Data'!$J$42</f>
        <v>#REF!</v>
      </c>
      <c r="C3" s="124" t="e">
        <f>'Dashboard Data'!$J$44</f>
        <v>#REF!</v>
      </c>
      <c r="D3" s="124" t="e">
        <f>'Dashboard Data'!$J$45</f>
        <v>#REF!</v>
      </c>
      <c r="E3" s="124" t="e">
        <f>Table1[[#This Row],[Cumulative Discounted Benefits]]-Table1[[#This Row],[Cumulative Discounted Costs]]</f>
        <v>#REF!</v>
      </c>
      <c r="F3" s="125" t="e">
        <f>Table1[[#This Row],[Cumulative Discounted Benefits]]/Table1[[#This Row],[Cumulative Discounted Costs]]</f>
        <v>#REF!</v>
      </c>
      <c r="G3" s="124" t="e">
        <f>'Dashboard Data'!$J$67</f>
        <v>#REF!</v>
      </c>
      <c r="H3" s="124" t="e">
        <f>'Dashboard Data'!$J$68</f>
        <v>#REF!</v>
      </c>
      <c r="I3" s="124" t="e">
        <f>'Dashboard Data'!$J$69</f>
        <v>#REF!</v>
      </c>
      <c r="J3" s="124" t="e">
        <f>'Dashboard Data'!$J$70</f>
        <v>#REF!</v>
      </c>
      <c r="K3" s="124" t="e">
        <f>'Dashboard Data'!$J$71</f>
        <v>#REF!</v>
      </c>
      <c r="L3" s="124" t="e">
        <f>'Dashboard Data'!$J$92</f>
        <v>#REF!</v>
      </c>
      <c r="M3" s="124" t="e">
        <f>'Dashboard Data'!$J$93</f>
        <v>#REF!</v>
      </c>
      <c r="N3" s="124" t="e">
        <f>'Dashboard Data'!$J$94</f>
        <v>#REF!</v>
      </c>
      <c r="O3" s="124" t="e">
        <f>'Dashboard Data'!$J$95</f>
        <v>#REF!</v>
      </c>
      <c r="P3" s="124" t="e">
        <f>'Dashboard Data'!$J$65</f>
        <v>#REF!</v>
      </c>
      <c r="Q3" s="124" t="e">
        <f>'Dashboard Data'!$J$90</f>
        <v>#REF!</v>
      </c>
      <c r="R3" s="124" t="e">
        <f>'Dashboard Data'!$J$60</f>
        <v>#REF!</v>
      </c>
      <c r="S3" s="124" t="e">
        <f>'Dashboard Data'!$J$59</f>
        <v>#REF!</v>
      </c>
      <c r="T3" s="124" t="e">
        <f>'Dashboard Data'!$J$63</f>
        <v>#REF!</v>
      </c>
      <c r="U3" s="124" t="e">
        <f>'Dashboard Data'!$J$62</f>
        <v>#REF!</v>
      </c>
      <c r="V3" s="124" t="e">
        <f>'Dashboard Data'!$J$61</f>
        <v>#REF!</v>
      </c>
      <c r="W3" s="124" t="e">
        <f>'Dashboard Data'!$J$85</f>
        <v>#REF!</v>
      </c>
      <c r="X3" s="124" t="e">
        <f>'Dashboard Data'!$J$86</f>
        <v>#REF!</v>
      </c>
      <c r="Y3" s="124" t="e">
        <f>'Dashboard Data'!$J$87</f>
        <v>#REF!</v>
      </c>
      <c r="Z3" s="124" t="e">
        <f>'Dashboard Data'!$J$88</f>
        <v>#REF!</v>
      </c>
    </row>
    <row r="4" spans="1:26" x14ac:dyDescent="0.3">
      <c r="A4" s="123" t="e">
        <f>'Dashboard Data'!$K$41</f>
        <v>#REF!</v>
      </c>
      <c r="B4" s="123" t="e">
        <f>'Dashboard Data'!$K$42</f>
        <v>#REF!</v>
      </c>
      <c r="C4" s="124" t="e">
        <f>'Dashboard Data'!$K$44</f>
        <v>#REF!</v>
      </c>
      <c r="D4" s="124" t="e">
        <f>'Dashboard Data'!$K$45</f>
        <v>#REF!</v>
      </c>
      <c r="E4" s="124" t="e">
        <f>Table1[[#This Row],[Cumulative Discounted Benefits]]-Table1[[#This Row],[Cumulative Discounted Costs]]</f>
        <v>#REF!</v>
      </c>
      <c r="F4" s="125" t="e">
        <f>Table1[[#This Row],[Cumulative Discounted Benefits]]/Table1[[#This Row],[Cumulative Discounted Costs]]</f>
        <v>#REF!</v>
      </c>
      <c r="G4" s="124" t="e">
        <f>'Dashboard Data'!$K$67</f>
        <v>#REF!</v>
      </c>
      <c r="H4" s="124" t="e">
        <f>'Dashboard Data'!$K$68</f>
        <v>#REF!</v>
      </c>
      <c r="I4" s="124" t="e">
        <f>'Dashboard Data'!$K$69</f>
        <v>#REF!</v>
      </c>
      <c r="J4" s="124" t="e">
        <f>'Dashboard Data'!$K$70</f>
        <v>#REF!</v>
      </c>
      <c r="K4" s="124" t="e">
        <f>'Dashboard Data'!$K$71</f>
        <v>#REF!</v>
      </c>
      <c r="L4" s="124" t="e">
        <f>'Dashboard Data'!$K$92</f>
        <v>#REF!</v>
      </c>
      <c r="M4" s="124" t="e">
        <f>'Dashboard Data'!$K$93</f>
        <v>#REF!</v>
      </c>
      <c r="N4" s="124" t="e">
        <f>'Dashboard Data'!$K$94</f>
        <v>#REF!</v>
      </c>
      <c r="O4" s="124" t="e">
        <f>'Dashboard Data'!$K$95</f>
        <v>#REF!</v>
      </c>
      <c r="P4" s="124" t="e">
        <f>'Dashboard Data'!$K$65</f>
        <v>#REF!</v>
      </c>
      <c r="Q4" s="124" t="e">
        <f>'Dashboard Data'!$K$90</f>
        <v>#REF!</v>
      </c>
      <c r="R4" s="124" t="e">
        <f>'Dashboard Data'!$K$60</f>
        <v>#REF!</v>
      </c>
      <c r="S4" s="124" t="e">
        <f>'Dashboard Data'!$K$59</f>
        <v>#REF!</v>
      </c>
      <c r="T4" s="124" t="e">
        <f>'Dashboard Data'!$K$63</f>
        <v>#REF!</v>
      </c>
      <c r="U4" s="124" t="e">
        <f>'Dashboard Data'!$K$62</f>
        <v>#REF!</v>
      </c>
      <c r="V4" s="124" t="e">
        <f>'Dashboard Data'!$K$61</f>
        <v>#REF!</v>
      </c>
      <c r="W4" s="124" t="e">
        <f>'Dashboard Data'!$K$85</f>
        <v>#REF!</v>
      </c>
      <c r="X4" s="124" t="e">
        <f>'Dashboard Data'!$K$86</f>
        <v>#REF!</v>
      </c>
      <c r="Y4" s="124" t="e">
        <f>'Dashboard Data'!$K$87</f>
        <v>#REF!</v>
      </c>
      <c r="Z4" s="124" t="e">
        <f>'Dashboard Data'!$K$88</f>
        <v>#REF!</v>
      </c>
    </row>
    <row r="5" spans="1:26" x14ac:dyDescent="0.3">
      <c r="A5" s="123" t="e">
        <f>'Dashboard Data'!$L$41</f>
        <v>#REF!</v>
      </c>
      <c r="B5" s="123" t="e">
        <f>'Dashboard Data'!$L$42</f>
        <v>#REF!</v>
      </c>
      <c r="C5" s="124" t="e">
        <f>'Dashboard Data'!$L$44</f>
        <v>#REF!</v>
      </c>
      <c r="D5" s="124" t="e">
        <f>'Dashboard Data'!$L$45</f>
        <v>#REF!</v>
      </c>
      <c r="E5" s="124" t="e">
        <f>Table1[[#This Row],[Cumulative Discounted Benefits]]-Table1[[#This Row],[Cumulative Discounted Costs]]</f>
        <v>#REF!</v>
      </c>
      <c r="F5" s="125" t="e">
        <f>Table1[[#This Row],[Cumulative Discounted Benefits]]/Table1[[#This Row],[Cumulative Discounted Costs]]</f>
        <v>#REF!</v>
      </c>
      <c r="G5" s="124" t="e">
        <f>'Dashboard Data'!$L$67</f>
        <v>#REF!</v>
      </c>
      <c r="H5" s="124" t="e">
        <f>'Dashboard Data'!$L$68</f>
        <v>#REF!</v>
      </c>
      <c r="I5" s="124" t="e">
        <f>'Dashboard Data'!$L$69</f>
        <v>#REF!</v>
      </c>
      <c r="J5" s="124" t="e">
        <f>'Dashboard Data'!$L$70</f>
        <v>#REF!</v>
      </c>
      <c r="K5" s="124" t="e">
        <f>'Dashboard Data'!$L$71</f>
        <v>#REF!</v>
      </c>
      <c r="L5" s="124" t="e">
        <f>'Dashboard Data'!$L$92</f>
        <v>#REF!</v>
      </c>
      <c r="M5" s="124" t="e">
        <f>'Dashboard Data'!$L$93</f>
        <v>#REF!</v>
      </c>
      <c r="N5" s="124" t="e">
        <f>'Dashboard Data'!$L$94</f>
        <v>#REF!</v>
      </c>
      <c r="O5" s="124" t="e">
        <f>'Dashboard Data'!$L$95</f>
        <v>#REF!</v>
      </c>
      <c r="P5" s="124" t="e">
        <f>'Dashboard Data'!$L$65</f>
        <v>#REF!</v>
      </c>
      <c r="Q5" s="124" t="e">
        <f>'Dashboard Data'!$L$90</f>
        <v>#REF!</v>
      </c>
      <c r="R5" s="124" t="e">
        <f>'Dashboard Data'!$L$60</f>
        <v>#REF!</v>
      </c>
      <c r="S5" s="124" t="e">
        <f>'Dashboard Data'!$L$59</f>
        <v>#REF!</v>
      </c>
      <c r="T5" s="124" t="e">
        <f>'Dashboard Data'!$L$63</f>
        <v>#REF!</v>
      </c>
      <c r="U5" s="124" t="e">
        <f>'Dashboard Data'!$L$62</f>
        <v>#REF!</v>
      </c>
      <c r="V5" s="124" t="e">
        <f>'Dashboard Data'!$L$61</f>
        <v>#REF!</v>
      </c>
      <c r="W5" s="124" t="e">
        <f>'Dashboard Data'!$L$85</f>
        <v>#REF!</v>
      </c>
      <c r="X5" s="124" t="e">
        <f>'Dashboard Data'!$L$86</f>
        <v>#REF!</v>
      </c>
      <c r="Y5" s="124" t="e">
        <f>'Dashboard Data'!$L$87</f>
        <v>#REF!</v>
      </c>
      <c r="Z5" s="124" t="e">
        <f>'Dashboard Data'!$L$88</f>
        <v>#REF!</v>
      </c>
    </row>
    <row r="6" spans="1:26" x14ac:dyDescent="0.3">
      <c r="A6" s="123" t="e">
        <f>'Dashboard Data'!$M$41</f>
        <v>#REF!</v>
      </c>
      <c r="B6" s="123" t="e">
        <f>'Dashboard Data'!$M$42</f>
        <v>#REF!</v>
      </c>
      <c r="C6" s="124" t="e">
        <f>'Dashboard Data'!$M$44</f>
        <v>#REF!</v>
      </c>
      <c r="D6" s="124" t="e">
        <f>'Dashboard Data'!$M$45</f>
        <v>#REF!</v>
      </c>
      <c r="E6" s="124" t="e">
        <f>Table1[[#This Row],[Cumulative Discounted Benefits]]-Table1[[#This Row],[Cumulative Discounted Costs]]</f>
        <v>#REF!</v>
      </c>
      <c r="F6" s="125" t="e">
        <f>Table1[[#This Row],[Cumulative Discounted Benefits]]/Table1[[#This Row],[Cumulative Discounted Costs]]</f>
        <v>#REF!</v>
      </c>
      <c r="G6" s="124" t="e">
        <f>'Dashboard Data'!$M$67</f>
        <v>#REF!</v>
      </c>
      <c r="H6" s="124" t="e">
        <f>'Dashboard Data'!$M$68</f>
        <v>#REF!</v>
      </c>
      <c r="I6" s="124" t="e">
        <f>'Dashboard Data'!$M$69</f>
        <v>#REF!</v>
      </c>
      <c r="J6" s="124" t="e">
        <f>'Dashboard Data'!$M$70</f>
        <v>#REF!</v>
      </c>
      <c r="K6" s="124" t="e">
        <f>'Dashboard Data'!$M$71</f>
        <v>#REF!</v>
      </c>
      <c r="L6" s="124" t="e">
        <f>'Dashboard Data'!$M$92</f>
        <v>#REF!</v>
      </c>
      <c r="M6" s="124" t="e">
        <f>'Dashboard Data'!$M$93</f>
        <v>#REF!</v>
      </c>
      <c r="N6" s="124" t="e">
        <f>'Dashboard Data'!$M$94</f>
        <v>#REF!</v>
      </c>
      <c r="O6" s="124" t="e">
        <f>'Dashboard Data'!$M$95</f>
        <v>#REF!</v>
      </c>
      <c r="P6" s="124" t="e">
        <f>'Dashboard Data'!$M$65</f>
        <v>#REF!</v>
      </c>
      <c r="Q6" s="124" t="e">
        <f>'Dashboard Data'!$M$90</f>
        <v>#REF!</v>
      </c>
      <c r="R6" s="124" t="e">
        <f>'Dashboard Data'!$M$60</f>
        <v>#REF!</v>
      </c>
      <c r="S6" s="124" t="e">
        <f>'Dashboard Data'!$M$59</f>
        <v>#REF!</v>
      </c>
      <c r="T6" s="124" t="e">
        <f>'Dashboard Data'!$M$63</f>
        <v>#REF!</v>
      </c>
      <c r="U6" s="124" t="e">
        <f>'Dashboard Data'!$M$62</f>
        <v>#REF!</v>
      </c>
      <c r="V6" s="124" t="e">
        <f>'Dashboard Data'!$M$61</f>
        <v>#REF!</v>
      </c>
      <c r="W6" s="124" t="e">
        <f>'Dashboard Data'!$M$85</f>
        <v>#REF!</v>
      </c>
      <c r="X6" s="124" t="e">
        <f>'Dashboard Data'!$M$86</f>
        <v>#REF!</v>
      </c>
      <c r="Y6" s="124" t="e">
        <f>'Dashboard Data'!$M$87</f>
        <v>#REF!</v>
      </c>
      <c r="Z6" s="124" t="e">
        <f>'Dashboard Data'!$M$88</f>
        <v>#REF!</v>
      </c>
    </row>
    <row r="7" spans="1:26" x14ac:dyDescent="0.3">
      <c r="A7" s="123" t="e">
        <f>'Dashboard Data'!$N$41</f>
        <v>#REF!</v>
      </c>
      <c r="B7" s="123" t="e">
        <f>'Dashboard Data'!$N$42</f>
        <v>#REF!</v>
      </c>
      <c r="C7" s="124" t="e">
        <f>'Dashboard Data'!$N$44</f>
        <v>#REF!</v>
      </c>
      <c r="D7" s="124" t="e">
        <f>'Dashboard Data'!$N$45</f>
        <v>#REF!</v>
      </c>
      <c r="E7" s="124" t="e">
        <f>Table1[[#This Row],[Cumulative Discounted Benefits]]-Table1[[#This Row],[Cumulative Discounted Costs]]</f>
        <v>#REF!</v>
      </c>
      <c r="F7" s="125" t="e">
        <f>Table1[[#This Row],[Cumulative Discounted Benefits]]/Table1[[#This Row],[Cumulative Discounted Costs]]</f>
        <v>#REF!</v>
      </c>
      <c r="G7" s="124" t="e">
        <f>'Dashboard Data'!$N$67</f>
        <v>#REF!</v>
      </c>
      <c r="H7" s="124" t="e">
        <f>'Dashboard Data'!$N$68</f>
        <v>#REF!</v>
      </c>
      <c r="I7" s="124" t="e">
        <f>'Dashboard Data'!$N$69</f>
        <v>#REF!</v>
      </c>
      <c r="J7" s="124" t="e">
        <f>'Dashboard Data'!$N$70</f>
        <v>#REF!</v>
      </c>
      <c r="K7" s="124" t="e">
        <f>'Dashboard Data'!$N$71</f>
        <v>#REF!</v>
      </c>
      <c r="L7" s="124" t="e">
        <f>'Dashboard Data'!$N$92</f>
        <v>#REF!</v>
      </c>
      <c r="M7" s="124" t="e">
        <f>'Dashboard Data'!$N$93</f>
        <v>#REF!</v>
      </c>
      <c r="N7" s="124" t="e">
        <f>'Dashboard Data'!$N$94</f>
        <v>#REF!</v>
      </c>
      <c r="O7" s="124" t="e">
        <f>'Dashboard Data'!$N$95</f>
        <v>#REF!</v>
      </c>
      <c r="P7" s="124" t="e">
        <f>'Dashboard Data'!$N$65</f>
        <v>#REF!</v>
      </c>
      <c r="Q7" s="124" t="e">
        <f>'Dashboard Data'!$N$90</f>
        <v>#REF!</v>
      </c>
      <c r="R7" s="124" t="e">
        <f>'Dashboard Data'!$N$60</f>
        <v>#REF!</v>
      </c>
      <c r="S7" s="124" t="e">
        <f>'Dashboard Data'!$N$59</f>
        <v>#REF!</v>
      </c>
      <c r="T7" s="124" t="e">
        <f>'Dashboard Data'!$N$63</f>
        <v>#REF!</v>
      </c>
      <c r="U7" s="124" t="e">
        <f>'Dashboard Data'!$N$62</f>
        <v>#REF!</v>
      </c>
      <c r="V7" s="124" t="e">
        <f>'Dashboard Data'!$N$61</f>
        <v>#REF!</v>
      </c>
      <c r="W7" s="124" t="e">
        <f>'Dashboard Data'!$N$85</f>
        <v>#REF!</v>
      </c>
      <c r="X7" s="124" t="e">
        <f>'Dashboard Data'!$N$86</f>
        <v>#REF!</v>
      </c>
      <c r="Y7" s="124" t="e">
        <f>'Dashboard Data'!$N$87</f>
        <v>#REF!</v>
      </c>
      <c r="Z7" s="124" t="e">
        <f>'Dashboard Data'!$N$88</f>
        <v>#REF!</v>
      </c>
    </row>
    <row r="8" spans="1:26" x14ac:dyDescent="0.3">
      <c r="A8" s="123" t="e">
        <f>'Dashboard Data'!$O$41</f>
        <v>#REF!</v>
      </c>
      <c r="B8" s="123" t="e">
        <f>'Dashboard Data'!$O$42</f>
        <v>#REF!</v>
      </c>
      <c r="C8" s="124" t="e">
        <f>'Dashboard Data'!$O$44</f>
        <v>#REF!</v>
      </c>
      <c r="D8" s="124" t="e">
        <f>'Dashboard Data'!$O$45</f>
        <v>#REF!</v>
      </c>
      <c r="E8" s="124" t="e">
        <f>Table1[[#This Row],[Cumulative Discounted Benefits]]-Table1[[#This Row],[Cumulative Discounted Costs]]</f>
        <v>#REF!</v>
      </c>
      <c r="F8" s="125" t="e">
        <f>Table1[[#This Row],[Cumulative Discounted Benefits]]/Table1[[#This Row],[Cumulative Discounted Costs]]</f>
        <v>#REF!</v>
      </c>
      <c r="G8" s="124" t="e">
        <f>'Dashboard Data'!$O$67</f>
        <v>#REF!</v>
      </c>
      <c r="H8" s="124" t="e">
        <f>'Dashboard Data'!$O$68</f>
        <v>#REF!</v>
      </c>
      <c r="I8" s="124" t="e">
        <f>'Dashboard Data'!$O$69</f>
        <v>#REF!</v>
      </c>
      <c r="J8" s="124" t="e">
        <f>'Dashboard Data'!$O$70</f>
        <v>#REF!</v>
      </c>
      <c r="K8" s="124" t="e">
        <f>'Dashboard Data'!$O$71</f>
        <v>#REF!</v>
      </c>
      <c r="L8" s="124" t="e">
        <f>'Dashboard Data'!$O$92</f>
        <v>#REF!</v>
      </c>
      <c r="M8" s="124" t="e">
        <f>'Dashboard Data'!$O$93</f>
        <v>#REF!</v>
      </c>
      <c r="N8" s="124" t="e">
        <f>'Dashboard Data'!$O$94</f>
        <v>#REF!</v>
      </c>
      <c r="O8" s="124" t="e">
        <f>'Dashboard Data'!$O$95</f>
        <v>#REF!</v>
      </c>
      <c r="P8" s="124" t="e">
        <f>'Dashboard Data'!$O$65</f>
        <v>#REF!</v>
      </c>
      <c r="Q8" s="124" t="e">
        <f>'Dashboard Data'!$O$90</f>
        <v>#REF!</v>
      </c>
      <c r="R8" s="124" t="e">
        <f>'Dashboard Data'!$O$60</f>
        <v>#REF!</v>
      </c>
      <c r="S8" s="124" t="e">
        <f>'Dashboard Data'!$O$59</f>
        <v>#REF!</v>
      </c>
      <c r="T8" s="124" t="e">
        <f>'Dashboard Data'!$O$63</f>
        <v>#REF!</v>
      </c>
      <c r="U8" s="124" t="e">
        <f>'Dashboard Data'!$O$62</f>
        <v>#REF!</v>
      </c>
      <c r="V8" s="124" t="e">
        <f>'Dashboard Data'!$O$61</f>
        <v>#REF!</v>
      </c>
      <c r="W8" s="124" t="e">
        <f>'Dashboard Data'!$O$85</f>
        <v>#REF!</v>
      </c>
      <c r="X8" s="124" t="e">
        <f>'Dashboard Data'!$O$86</f>
        <v>#REF!</v>
      </c>
      <c r="Y8" s="124" t="e">
        <f>'Dashboard Data'!$O$87</f>
        <v>#REF!</v>
      </c>
      <c r="Z8" s="124" t="e">
        <f>'Dashboard Data'!$O$88</f>
        <v>#REF!</v>
      </c>
    </row>
    <row r="9" spans="1:26" x14ac:dyDescent="0.3">
      <c r="A9" s="123" t="e">
        <f>'Dashboard Data'!$P$41</f>
        <v>#REF!</v>
      </c>
      <c r="B9" s="123" t="e">
        <f>'Dashboard Data'!$P$42</f>
        <v>#REF!</v>
      </c>
      <c r="C9" s="124" t="e">
        <f>'Dashboard Data'!$P$44</f>
        <v>#REF!</v>
      </c>
      <c r="D9" s="124" t="e">
        <f>'Dashboard Data'!$P$45</f>
        <v>#REF!</v>
      </c>
      <c r="E9" s="124" t="e">
        <f>Table1[[#This Row],[Cumulative Discounted Benefits]]-Table1[[#This Row],[Cumulative Discounted Costs]]</f>
        <v>#REF!</v>
      </c>
      <c r="F9" s="125" t="e">
        <f>Table1[[#This Row],[Cumulative Discounted Benefits]]/Table1[[#This Row],[Cumulative Discounted Costs]]</f>
        <v>#REF!</v>
      </c>
      <c r="G9" s="124" t="e">
        <f>'Dashboard Data'!$P$67</f>
        <v>#REF!</v>
      </c>
      <c r="H9" s="124" t="e">
        <f>'Dashboard Data'!$P$68</f>
        <v>#REF!</v>
      </c>
      <c r="I9" s="124" t="e">
        <f>'Dashboard Data'!$P$69</f>
        <v>#REF!</v>
      </c>
      <c r="J9" s="124" t="e">
        <f>'Dashboard Data'!$P$70</f>
        <v>#REF!</v>
      </c>
      <c r="K9" s="124" t="e">
        <f>'Dashboard Data'!$P$71</f>
        <v>#REF!</v>
      </c>
      <c r="L9" s="124" t="e">
        <f>'Dashboard Data'!$P$92</f>
        <v>#REF!</v>
      </c>
      <c r="M9" s="124" t="e">
        <f>'Dashboard Data'!$P$93</f>
        <v>#REF!</v>
      </c>
      <c r="N9" s="124" t="e">
        <f>'Dashboard Data'!$P$94</f>
        <v>#REF!</v>
      </c>
      <c r="O9" s="124" t="e">
        <f>'Dashboard Data'!$P$95</f>
        <v>#REF!</v>
      </c>
      <c r="P9" s="124" t="e">
        <f>'Dashboard Data'!$P$65</f>
        <v>#REF!</v>
      </c>
      <c r="Q9" s="124" t="e">
        <f>'Dashboard Data'!$P$90</f>
        <v>#REF!</v>
      </c>
      <c r="R9" s="124" t="e">
        <f>'Dashboard Data'!$P$60</f>
        <v>#REF!</v>
      </c>
      <c r="S9" s="124" t="e">
        <f>'Dashboard Data'!$P$59</f>
        <v>#REF!</v>
      </c>
      <c r="T9" s="124" t="e">
        <f>'Dashboard Data'!$P$63</f>
        <v>#REF!</v>
      </c>
      <c r="U9" s="124" t="e">
        <f>'Dashboard Data'!$P$62</f>
        <v>#REF!</v>
      </c>
      <c r="V9" s="124" t="e">
        <f>'Dashboard Data'!$P$61</f>
        <v>#REF!</v>
      </c>
      <c r="W9" s="124" t="e">
        <f>'Dashboard Data'!$P$85</f>
        <v>#REF!</v>
      </c>
      <c r="X9" s="124" t="e">
        <f>'Dashboard Data'!$P$86</f>
        <v>#REF!</v>
      </c>
      <c r="Y9" s="124" t="e">
        <f>'Dashboard Data'!$P$87</f>
        <v>#REF!</v>
      </c>
      <c r="Z9" s="124" t="e">
        <f>'Dashboard Data'!$P$88</f>
        <v>#REF!</v>
      </c>
    </row>
    <row r="10" spans="1:26" x14ac:dyDescent="0.3">
      <c r="A10" s="123" t="e">
        <f>'Dashboard Data'!$Q$41</f>
        <v>#REF!</v>
      </c>
      <c r="B10" s="123" t="e">
        <f>'Dashboard Data'!$Q$42</f>
        <v>#REF!</v>
      </c>
      <c r="C10" s="124" t="e">
        <f>'Dashboard Data'!$Q$44</f>
        <v>#REF!</v>
      </c>
      <c r="D10" s="124" t="e">
        <f>'Dashboard Data'!$Q$45</f>
        <v>#REF!</v>
      </c>
      <c r="E10" s="124" t="e">
        <f>Table1[[#This Row],[Cumulative Discounted Benefits]]-Table1[[#This Row],[Cumulative Discounted Costs]]</f>
        <v>#REF!</v>
      </c>
      <c r="F10" s="125" t="e">
        <f>Table1[[#This Row],[Cumulative Discounted Benefits]]/Table1[[#This Row],[Cumulative Discounted Costs]]</f>
        <v>#REF!</v>
      </c>
      <c r="G10" s="124" t="e">
        <f>'Dashboard Data'!$Q$67</f>
        <v>#REF!</v>
      </c>
      <c r="H10" s="124" t="e">
        <f>'Dashboard Data'!$Q$68</f>
        <v>#REF!</v>
      </c>
      <c r="I10" s="124" t="e">
        <f>'Dashboard Data'!$Q$69</f>
        <v>#REF!</v>
      </c>
      <c r="J10" s="124" t="e">
        <f>'Dashboard Data'!$Q$70</f>
        <v>#REF!</v>
      </c>
      <c r="K10" s="124" t="e">
        <f>'Dashboard Data'!$Q$71</f>
        <v>#REF!</v>
      </c>
      <c r="L10" s="124" t="e">
        <f>'Dashboard Data'!$Q$92</f>
        <v>#REF!</v>
      </c>
      <c r="M10" s="124" t="e">
        <f>'Dashboard Data'!$Q$93</f>
        <v>#REF!</v>
      </c>
      <c r="N10" s="124" t="e">
        <f>'Dashboard Data'!$Q$94</f>
        <v>#REF!</v>
      </c>
      <c r="O10" s="124" t="e">
        <f>'Dashboard Data'!$Q$95</f>
        <v>#REF!</v>
      </c>
      <c r="P10" s="124" t="e">
        <f>'Dashboard Data'!$Q$65</f>
        <v>#REF!</v>
      </c>
      <c r="Q10" s="124" t="e">
        <f>'Dashboard Data'!$Q$90</f>
        <v>#REF!</v>
      </c>
      <c r="R10" s="124" t="e">
        <f>'Dashboard Data'!$Q$60</f>
        <v>#REF!</v>
      </c>
      <c r="S10" s="124" t="e">
        <f>'Dashboard Data'!$Q$59</f>
        <v>#REF!</v>
      </c>
      <c r="T10" s="124" t="e">
        <f>'Dashboard Data'!$Q$63</f>
        <v>#REF!</v>
      </c>
      <c r="U10" s="124" t="e">
        <f>'Dashboard Data'!$Q$62</f>
        <v>#REF!</v>
      </c>
      <c r="V10" s="124" t="e">
        <f>'Dashboard Data'!$Q$61</f>
        <v>#REF!</v>
      </c>
      <c r="W10" s="124" t="e">
        <f>'Dashboard Data'!$Q$85</f>
        <v>#REF!</v>
      </c>
      <c r="X10" s="124" t="e">
        <f>'Dashboard Data'!$Q$86</f>
        <v>#REF!</v>
      </c>
      <c r="Y10" s="124" t="e">
        <f>'Dashboard Data'!$Q$87</f>
        <v>#REF!</v>
      </c>
      <c r="Z10" s="124" t="e">
        <f>'Dashboard Data'!$Q$88</f>
        <v>#REF!</v>
      </c>
    </row>
    <row r="11" spans="1:26" x14ac:dyDescent="0.3">
      <c r="A11" s="123" t="e">
        <f>'Dashboard Data'!$R$41</f>
        <v>#REF!</v>
      </c>
      <c r="B11" s="123" t="e">
        <f>'Dashboard Data'!$R$42</f>
        <v>#REF!</v>
      </c>
      <c r="C11" s="124" t="e">
        <f>'Dashboard Data'!$R$44</f>
        <v>#REF!</v>
      </c>
      <c r="D11" s="124" t="e">
        <f>'Dashboard Data'!$R$45</f>
        <v>#REF!</v>
      </c>
      <c r="E11" s="124" t="e">
        <f>Table1[[#This Row],[Cumulative Discounted Benefits]]-Table1[[#This Row],[Cumulative Discounted Costs]]</f>
        <v>#REF!</v>
      </c>
      <c r="F11" s="125" t="e">
        <f>Table1[[#This Row],[Cumulative Discounted Benefits]]/Table1[[#This Row],[Cumulative Discounted Costs]]</f>
        <v>#REF!</v>
      </c>
      <c r="G11" s="124" t="e">
        <f>'Dashboard Data'!$R$67</f>
        <v>#REF!</v>
      </c>
      <c r="H11" s="124" t="e">
        <f>'Dashboard Data'!$R$68</f>
        <v>#REF!</v>
      </c>
      <c r="I11" s="124" t="e">
        <f>'Dashboard Data'!$R$69</f>
        <v>#REF!</v>
      </c>
      <c r="J11" s="124" t="e">
        <f>'Dashboard Data'!$R$70</f>
        <v>#REF!</v>
      </c>
      <c r="K11" s="124" t="e">
        <f>'Dashboard Data'!$R$71</f>
        <v>#REF!</v>
      </c>
      <c r="L11" s="124" t="e">
        <f>'Dashboard Data'!$R$92</f>
        <v>#REF!</v>
      </c>
      <c r="M11" s="124" t="e">
        <f>'Dashboard Data'!$R$93</f>
        <v>#REF!</v>
      </c>
      <c r="N11" s="124" t="e">
        <f>'Dashboard Data'!$R$94</f>
        <v>#REF!</v>
      </c>
      <c r="O11" s="124" t="e">
        <f>'Dashboard Data'!$R$95</f>
        <v>#REF!</v>
      </c>
      <c r="P11" s="124" t="e">
        <f>'Dashboard Data'!$R$65</f>
        <v>#REF!</v>
      </c>
      <c r="Q11" s="124" t="e">
        <f>'Dashboard Data'!$R$90</f>
        <v>#REF!</v>
      </c>
      <c r="R11" s="124" t="e">
        <f>'Dashboard Data'!$R$60</f>
        <v>#REF!</v>
      </c>
      <c r="S11" s="124" t="e">
        <f>'Dashboard Data'!$R$59</f>
        <v>#REF!</v>
      </c>
      <c r="T11" s="124" t="e">
        <f>'Dashboard Data'!$R$63</f>
        <v>#REF!</v>
      </c>
      <c r="U11" s="124" t="e">
        <f>'Dashboard Data'!$R$62</f>
        <v>#REF!</v>
      </c>
      <c r="V11" s="124" t="e">
        <f>'Dashboard Data'!$R$61</f>
        <v>#REF!</v>
      </c>
      <c r="W11" s="124" t="e">
        <f>'Dashboard Data'!$R$85</f>
        <v>#REF!</v>
      </c>
      <c r="X11" s="124" t="e">
        <f>'Dashboard Data'!$R$86</f>
        <v>#REF!</v>
      </c>
      <c r="Y11" s="124" t="e">
        <f>'Dashboard Data'!$R$87</f>
        <v>#REF!</v>
      </c>
      <c r="Z11" s="124" t="e">
        <f>'Dashboard Data'!$R$88</f>
        <v>#REF!</v>
      </c>
    </row>
    <row r="12" spans="1:26" x14ac:dyDescent="0.3">
      <c r="A12" s="123" t="e">
        <f>'Dashboard Data'!$S$41</f>
        <v>#REF!</v>
      </c>
      <c r="B12" s="123" t="e">
        <f>'Dashboard Data'!$S$42</f>
        <v>#REF!</v>
      </c>
      <c r="C12" s="124" t="e">
        <f>'Dashboard Data'!$S$44</f>
        <v>#REF!</v>
      </c>
      <c r="D12" s="124" t="e">
        <f>'Dashboard Data'!$S$45</f>
        <v>#REF!</v>
      </c>
      <c r="E12" s="124" t="e">
        <f>Table1[[#This Row],[Cumulative Discounted Benefits]]-Table1[[#This Row],[Cumulative Discounted Costs]]</f>
        <v>#REF!</v>
      </c>
      <c r="F12" s="125" t="e">
        <f>Table1[[#This Row],[Cumulative Discounted Benefits]]/Table1[[#This Row],[Cumulative Discounted Costs]]</f>
        <v>#REF!</v>
      </c>
      <c r="G12" s="124" t="e">
        <f>'Dashboard Data'!$S$67</f>
        <v>#REF!</v>
      </c>
      <c r="H12" s="124" t="e">
        <f>'Dashboard Data'!$S$68</f>
        <v>#REF!</v>
      </c>
      <c r="I12" s="124" t="e">
        <f>'Dashboard Data'!$S$69</f>
        <v>#REF!</v>
      </c>
      <c r="J12" s="124" t="e">
        <f>'Dashboard Data'!$S$70</f>
        <v>#REF!</v>
      </c>
      <c r="K12" s="124" t="e">
        <f>'Dashboard Data'!$S$71</f>
        <v>#REF!</v>
      </c>
      <c r="L12" s="124" t="e">
        <f>'Dashboard Data'!$S$92</f>
        <v>#REF!</v>
      </c>
      <c r="M12" s="124" t="e">
        <f>'Dashboard Data'!$S$93</f>
        <v>#REF!</v>
      </c>
      <c r="N12" s="124" t="e">
        <f>'Dashboard Data'!$S$94</f>
        <v>#REF!</v>
      </c>
      <c r="O12" s="124" t="e">
        <f>'Dashboard Data'!$S$95</f>
        <v>#REF!</v>
      </c>
      <c r="P12" s="124" t="e">
        <f>'Dashboard Data'!$S$65</f>
        <v>#REF!</v>
      </c>
      <c r="Q12" s="124" t="e">
        <f>'Dashboard Data'!$S$90</f>
        <v>#REF!</v>
      </c>
      <c r="R12" s="124" t="e">
        <f>'Dashboard Data'!$S$60</f>
        <v>#REF!</v>
      </c>
      <c r="S12" s="124" t="e">
        <f>'Dashboard Data'!$S$59</f>
        <v>#REF!</v>
      </c>
      <c r="T12" s="124" t="e">
        <f>'Dashboard Data'!$S$63</f>
        <v>#REF!</v>
      </c>
      <c r="U12" s="124" t="e">
        <f>'Dashboard Data'!$S$62</f>
        <v>#REF!</v>
      </c>
      <c r="V12" s="124" t="e">
        <f>'Dashboard Data'!$S$61</f>
        <v>#REF!</v>
      </c>
      <c r="W12" s="124" t="e">
        <f>'Dashboard Data'!$S$85</f>
        <v>#REF!</v>
      </c>
      <c r="X12" s="124" t="e">
        <f>'Dashboard Data'!$S$86</f>
        <v>#REF!</v>
      </c>
      <c r="Y12" s="124" t="e">
        <f>'Dashboard Data'!$S$87</f>
        <v>#REF!</v>
      </c>
      <c r="Z12" s="124" t="e">
        <f>'Dashboard Data'!$S$88</f>
        <v>#REF!</v>
      </c>
    </row>
    <row r="13" spans="1:26" x14ac:dyDescent="0.3">
      <c r="A13" s="123" t="e">
        <f>'Dashboard Data'!$T$41</f>
        <v>#REF!</v>
      </c>
      <c r="B13" s="123" t="e">
        <f>'Dashboard Data'!$T$42</f>
        <v>#REF!</v>
      </c>
      <c r="C13" s="124" t="e">
        <f>'Dashboard Data'!$T$44</f>
        <v>#REF!</v>
      </c>
      <c r="D13" s="124" t="e">
        <f>'Dashboard Data'!$T$45</f>
        <v>#REF!</v>
      </c>
      <c r="E13" s="124" t="e">
        <f>Table1[[#This Row],[Cumulative Discounted Benefits]]-Table1[[#This Row],[Cumulative Discounted Costs]]</f>
        <v>#REF!</v>
      </c>
      <c r="F13" s="125" t="e">
        <f>Table1[[#This Row],[Cumulative Discounted Benefits]]/Table1[[#This Row],[Cumulative Discounted Costs]]</f>
        <v>#REF!</v>
      </c>
      <c r="G13" s="124" t="e">
        <f>'Dashboard Data'!$T$67</f>
        <v>#REF!</v>
      </c>
      <c r="H13" s="124" t="e">
        <f>'Dashboard Data'!$T$68</f>
        <v>#REF!</v>
      </c>
      <c r="I13" s="124" t="e">
        <f>'Dashboard Data'!$T$69</f>
        <v>#REF!</v>
      </c>
      <c r="J13" s="124" t="e">
        <f>'Dashboard Data'!$T$70</f>
        <v>#REF!</v>
      </c>
      <c r="K13" s="124" t="e">
        <f>'Dashboard Data'!$T$71</f>
        <v>#REF!</v>
      </c>
      <c r="L13" s="124" t="e">
        <f>'Dashboard Data'!$T$92</f>
        <v>#REF!</v>
      </c>
      <c r="M13" s="124" t="e">
        <f>'Dashboard Data'!$T$93</f>
        <v>#REF!</v>
      </c>
      <c r="N13" s="124" t="e">
        <f>'Dashboard Data'!$T$94</f>
        <v>#REF!</v>
      </c>
      <c r="O13" s="124" t="e">
        <f>'Dashboard Data'!$T$95</f>
        <v>#REF!</v>
      </c>
      <c r="P13" s="124" t="e">
        <f>'Dashboard Data'!$T$65</f>
        <v>#REF!</v>
      </c>
      <c r="Q13" s="124" t="e">
        <f>'Dashboard Data'!$T$90</f>
        <v>#REF!</v>
      </c>
      <c r="R13" s="124" t="e">
        <f>'Dashboard Data'!$T$60</f>
        <v>#REF!</v>
      </c>
      <c r="S13" s="124" t="e">
        <f>'Dashboard Data'!$T$59</f>
        <v>#REF!</v>
      </c>
      <c r="T13" s="124" t="e">
        <f>'Dashboard Data'!$T$63</f>
        <v>#REF!</v>
      </c>
      <c r="U13" s="124" t="e">
        <f>'Dashboard Data'!$T$62</f>
        <v>#REF!</v>
      </c>
      <c r="V13" s="124" t="e">
        <f>'Dashboard Data'!$T$61</f>
        <v>#REF!</v>
      </c>
      <c r="W13" s="124" t="e">
        <f>'Dashboard Data'!$T$85</f>
        <v>#REF!</v>
      </c>
      <c r="X13" s="124" t="e">
        <f>'Dashboard Data'!$T$86</f>
        <v>#REF!</v>
      </c>
      <c r="Y13" s="124" t="e">
        <f>'Dashboard Data'!$T$87</f>
        <v>#REF!</v>
      </c>
      <c r="Z13" s="124" t="e">
        <f>'Dashboard Data'!$T$88</f>
        <v>#REF!</v>
      </c>
    </row>
    <row r="14" spans="1:26" x14ac:dyDescent="0.3">
      <c r="A14" s="123" t="e">
        <f>'Dashboard Data'!$U$41</f>
        <v>#REF!</v>
      </c>
      <c r="B14" s="123" t="e">
        <f>'Dashboard Data'!$U$42</f>
        <v>#REF!</v>
      </c>
      <c r="C14" s="124" t="e">
        <f>'Dashboard Data'!$U$44</f>
        <v>#REF!</v>
      </c>
      <c r="D14" s="124" t="e">
        <f>'Dashboard Data'!$U$45</f>
        <v>#REF!</v>
      </c>
      <c r="E14" s="124" t="e">
        <f>Table1[[#This Row],[Cumulative Discounted Benefits]]-Table1[[#This Row],[Cumulative Discounted Costs]]</f>
        <v>#REF!</v>
      </c>
      <c r="F14" s="125" t="e">
        <f>Table1[[#This Row],[Cumulative Discounted Benefits]]/Table1[[#This Row],[Cumulative Discounted Costs]]</f>
        <v>#REF!</v>
      </c>
      <c r="G14" s="124" t="e">
        <f>'Dashboard Data'!$U$67</f>
        <v>#REF!</v>
      </c>
      <c r="H14" s="124" t="e">
        <f>'Dashboard Data'!$U$68</f>
        <v>#REF!</v>
      </c>
      <c r="I14" s="124" t="e">
        <f>'Dashboard Data'!$U$69</f>
        <v>#REF!</v>
      </c>
      <c r="J14" s="124" t="e">
        <f>'Dashboard Data'!$U$70</f>
        <v>#REF!</v>
      </c>
      <c r="K14" s="124" t="e">
        <f>'Dashboard Data'!$U$71</f>
        <v>#REF!</v>
      </c>
      <c r="L14" s="124" t="e">
        <f>'Dashboard Data'!$U$92</f>
        <v>#REF!</v>
      </c>
      <c r="M14" s="124" t="e">
        <f>'Dashboard Data'!$U$93</f>
        <v>#REF!</v>
      </c>
      <c r="N14" s="124" t="e">
        <f>'Dashboard Data'!$U$94</f>
        <v>#REF!</v>
      </c>
      <c r="O14" s="124" t="e">
        <f>'Dashboard Data'!$U$95</f>
        <v>#REF!</v>
      </c>
      <c r="P14" s="124" t="e">
        <f>'Dashboard Data'!$U$65</f>
        <v>#REF!</v>
      </c>
      <c r="Q14" s="124" t="e">
        <f>'Dashboard Data'!$U$90</f>
        <v>#REF!</v>
      </c>
      <c r="R14" s="124" t="e">
        <f>'Dashboard Data'!$U$60</f>
        <v>#REF!</v>
      </c>
      <c r="S14" s="124" t="e">
        <f>'Dashboard Data'!$U$59</f>
        <v>#REF!</v>
      </c>
      <c r="T14" s="124" t="e">
        <f>'Dashboard Data'!$U$63</f>
        <v>#REF!</v>
      </c>
      <c r="U14" s="124" t="e">
        <f>'Dashboard Data'!$U$62</f>
        <v>#REF!</v>
      </c>
      <c r="V14" s="124" t="e">
        <f>'Dashboard Data'!$U$61</f>
        <v>#REF!</v>
      </c>
      <c r="W14" s="124" t="e">
        <f>'Dashboard Data'!$U$85</f>
        <v>#REF!</v>
      </c>
      <c r="X14" s="124" t="e">
        <f>'Dashboard Data'!$U$86</f>
        <v>#REF!</v>
      </c>
      <c r="Y14" s="124" t="e">
        <f>'Dashboard Data'!$U$87</f>
        <v>#REF!</v>
      </c>
      <c r="Z14" s="124" t="e">
        <f>'Dashboard Data'!$U$88</f>
        <v>#REF!</v>
      </c>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36B53-162E-4630-A6AA-6750F8B76457}">
  <sheetPr>
    <tabColor theme="3"/>
  </sheetPr>
  <dimension ref="A1:H67"/>
  <sheetViews>
    <sheetView workbookViewId="0">
      <selection activeCell="H1" sqref="H1"/>
    </sheetView>
  </sheetViews>
  <sheetFormatPr defaultColWidth="0" defaultRowHeight="14.4" zeroHeight="1" x14ac:dyDescent="0.3"/>
  <cols>
    <col min="1" max="1" width="1.5546875" customWidth="1"/>
    <col min="2" max="4" width="1.5546875" style="2" customWidth="1"/>
    <col min="5" max="5" width="64.5546875" style="2" bestFit="1" customWidth="1"/>
    <col min="6" max="6" width="15.5546875" style="2" customWidth="1"/>
    <col min="7" max="8" width="9.44140625" style="2" customWidth="1"/>
    <col min="9" max="16384" width="9.44140625" style="2" hidden="1"/>
  </cols>
  <sheetData>
    <row r="1" spans="1:8" ht="5.25" customHeight="1" x14ac:dyDescent="0.3">
      <c r="A1" s="2"/>
      <c r="E1" s="4"/>
    </row>
    <row r="2" spans="1:8" s="55" customFormat="1" ht="18" x14ac:dyDescent="0.35">
      <c r="B2" s="56"/>
      <c r="C2" s="65" t="s">
        <v>80</v>
      </c>
      <c r="F2" s="64"/>
    </row>
    <row r="3" spans="1:8" ht="5.25" customHeight="1" x14ac:dyDescent="0.3">
      <c r="A3" s="2"/>
      <c r="E3" s="4"/>
    </row>
    <row r="4" spans="1:8" x14ac:dyDescent="0.3">
      <c r="A4" s="2"/>
      <c r="E4" s="22" t="str">
        <f>'Quick Summary'!C4</f>
        <v>Variable</v>
      </c>
      <c r="F4" s="1" t="str">
        <f>'Quick Summary'!D4</f>
        <v>Value</v>
      </c>
      <c r="G4" s="22" t="str">
        <f>'Quick Summary'!E4</f>
        <v>Unit</v>
      </c>
    </row>
    <row r="5" spans="1:8" ht="5.25" customHeight="1" x14ac:dyDescent="0.3">
      <c r="A5" s="2"/>
      <c r="E5" s="4"/>
    </row>
    <row r="6" spans="1:8" x14ac:dyDescent="0.3">
      <c r="A6" s="2"/>
      <c r="C6" s="1" t="str">
        <f>'Quick Summary'!B6</f>
        <v>B/C Ratios</v>
      </c>
      <c r="E6" s="23"/>
    </row>
    <row r="7" spans="1:8" ht="5.25" customHeight="1" x14ac:dyDescent="0.3">
      <c r="A7" s="2"/>
      <c r="C7" s="1"/>
      <c r="E7" s="23"/>
    </row>
    <row r="8" spans="1:8" x14ac:dyDescent="0.3">
      <c r="A8" s="2"/>
      <c r="E8" s="4" t="str">
        <f>'Quick Summary'!C8</f>
        <v>Benefit-Cost Ratio</v>
      </c>
      <c r="F8" s="4">
        <f>'Quick Summary'!D8</f>
        <v>3.2418167491059502</v>
      </c>
      <c r="G8" s="4" t="str">
        <f>'Quick Summary'!E8</f>
        <v>ratio</v>
      </c>
    </row>
    <row r="9" spans="1:8" ht="5.25" customHeight="1" x14ac:dyDescent="0.3">
      <c r="A9" s="2"/>
      <c r="E9" s="4"/>
      <c r="H9" s="24"/>
    </row>
    <row r="10" spans="1:8" x14ac:dyDescent="0.3">
      <c r="A10" s="2"/>
      <c r="B10" s="5"/>
      <c r="C10" s="1" t="str">
        <f>'Quick Summary'!B10</f>
        <v>NPV</v>
      </c>
      <c r="D10" s="5"/>
      <c r="E10" s="25"/>
      <c r="F10" s="5"/>
      <c r="G10" s="5"/>
      <c r="H10" s="24"/>
    </row>
    <row r="11" spans="1:8" ht="5.25" customHeight="1" x14ac:dyDescent="0.3">
      <c r="A11" s="2"/>
      <c r="B11" s="5"/>
      <c r="C11" s="17"/>
      <c r="D11" s="5"/>
      <c r="E11" s="25"/>
      <c r="F11" s="5"/>
      <c r="G11" s="5"/>
      <c r="H11" s="24"/>
    </row>
    <row r="12" spans="1:8" x14ac:dyDescent="0.3">
      <c r="A12" s="2"/>
      <c r="B12" s="26"/>
      <c r="C12" s="26"/>
      <c r="D12" s="26"/>
      <c r="E12" s="4" t="str">
        <f>'Quick Summary'!C12</f>
        <v>Net Present Value Base</v>
      </c>
      <c r="F12" s="49">
        <f>'Quick Summary'!D12</f>
        <v>113697520.74732487</v>
      </c>
      <c r="G12" s="4" t="str">
        <f>'Quick Summary'!E12</f>
        <v>$2024</v>
      </c>
      <c r="H12" s="24"/>
    </row>
    <row r="13" spans="1:8" ht="5.25" customHeight="1" x14ac:dyDescent="0.3">
      <c r="A13" s="2"/>
      <c r="E13" s="4"/>
      <c r="H13" s="24"/>
    </row>
    <row r="14" spans="1:8" x14ac:dyDescent="0.3">
      <c r="A14" s="2"/>
      <c r="C14" s="1" t="str">
        <f>'Quick Summary'!B14</f>
        <v>BENEFITS</v>
      </c>
      <c r="E14" s="4"/>
      <c r="H14" s="24"/>
    </row>
    <row r="15" spans="1:8" ht="5.25" customHeight="1" x14ac:dyDescent="0.3">
      <c r="A15" s="2"/>
      <c r="C15" s="1"/>
      <c r="E15" s="4"/>
      <c r="H15" s="24"/>
    </row>
    <row r="16" spans="1:8" x14ac:dyDescent="0.3">
      <c r="A16" s="2"/>
      <c r="C16" s="1"/>
      <c r="E16" s="27" t="str">
        <f>'Quick Summary'!C16</f>
        <v>Analysis Length (Including Construction)</v>
      </c>
      <c r="F16" s="27">
        <f>'Quick Summary'!D16</f>
        <v>24</v>
      </c>
      <c r="G16" s="27" t="str">
        <f>'Quick Summary'!E16</f>
        <v>years</v>
      </c>
      <c r="H16" s="24"/>
    </row>
    <row r="17" spans="1:8" ht="5.25" customHeight="1" x14ac:dyDescent="0.3">
      <c r="A17" s="2"/>
      <c r="C17" s="1"/>
      <c r="E17" s="4"/>
      <c r="H17" s="24"/>
    </row>
    <row r="18" spans="1:8" x14ac:dyDescent="0.3">
      <c r="A18" s="2"/>
      <c r="C18" s="1"/>
      <c r="E18" s="47" t="str">
        <f>'Quick Summary'!C18</f>
        <v>Operational Time Savings - Vehicle Operators</v>
      </c>
      <c r="F18" s="49">
        <f>'Quick Summary'!D18</f>
        <v>9235143.3311453182</v>
      </c>
      <c r="G18" s="4" t="str">
        <f>'Quick Summary'!E18</f>
        <v>2025$</v>
      </c>
      <c r="H18" s="24"/>
    </row>
    <row r="19" spans="1:8" x14ac:dyDescent="0.3">
      <c r="A19" s="2"/>
      <c r="C19" s="1"/>
      <c r="E19" s="47" t="str">
        <f>'Quick Summary'!C20</f>
        <v>Operational Time Savings - Maintenance Staff</v>
      </c>
      <c r="F19" s="49">
        <f>'Quick Summary'!D20</f>
        <v>540545.7222472782</v>
      </c>
      <c r="G19" s="4" t="str">
        <f>'Quick Summary'!E20</f>
        <v>2025$</v>
      </c>
      <c r="H19" s="24"/>
    </row>
    <row r="20" spans="1:8" x14ac:dyDescent="0.3">
      <c r="A20" s="2"/>
      <c r="C20" s="1"/>
      <c r="E20" s="47" t="e">
        <f>'Quick Summary'!#REF!</f>
        <v>#REF!</v>
      </c>
      <c r="F20" s="49" t="e">
        <f>'Quick Summary'!#REF!</f>
        <v>#REF!</v>
      </c>
      <c r="G20" s="4" t="e">
        <f>'Quick Summary'!#REF!</f>
        <v>#REF!</v>
      </c>
      <c r="H20" s="24"/>
    </row>
    <row r="21" spans="1:8" x14ac:dyDescent="0.3">
      <c r="A21" s="2"/>
      <c r="C21" s="1"/>
      <c r="E21" s="47" t="str">
        <f>'Quick Summary'!C21</f>
        <v>Safety Benefits</v>
      </c>
      <c r="F21" s="49">
        <f>'Quick Summary'!D21</f>
        <v>136617779.02212283</v>
      </c>
      <c r="G21" s="4" t="str">
        <f>'Quick Summary'!E21</f>
        <v>2025$</v>
      </c>
      <c r="H21" s="24"/>
    </row>
    <row r="22" spans="1:8" x14ac:dyDescent="0.3">
      <c r="A22" s="2"/>
      <c r="C22" s="1"/>
      <c r="E22" s="47" t="str">
        <f>'Quick Summary'!C22</f>
        <v>Liability and Casualty Cost Savings</v>
      </c>
      <c r="F22" s="49">
        <f>'Quick Summary'!D22</f>
        <v>3741888.5741062108</v>
      </c>
      <c r="G22" s="4" t="str">
        <f>'Quick Summary'!E22</f>
        <v>2025$</v>
      </c>
      <c r="H22" s="24"/>
    </row>
    <row r="23" spans="1:8" ht="5.25" customHeight="1" x14ac:dyDescent="0.3">
      <c r="A23" s="2"/>
      <c r="C23" s="1"/>
      <c r="E23" s="4"/>
      <c r="H23" s="24"/>
    </row>
    <row r="24" spans="1:8" x14ac:dyDescent="0.3">
      <c r="A24" s="2"/>
      <c r="E24" s="4" t="str">
        <f>'Quick Summary'!C27</f>
        <v>TOTAL  BENEFITS</v>
      </c>
      <c r="F24" s="49">
        <f>'Quick Summary'!D27</f>
        <v>164414208.80519941</v>
      </c>
      <c r="G24" s="4" t="str">
        <f>'Quick Summary'!E27</f>
        <v>$2025</v>
      </c>
      <c r="H24" s="24"/>
    </row>
    <row r="25" spans="1:8" ht="5.25" customHeight="1" x14ac:dyDescent="0.3">
      <c r="A25" s="2"/>
      <c r="B25" s="4"/>
      <c r="C25" s="4"/>
      <c r="D25" s="4"/>
      <c r="E25" s="4"/>
      <c r="F25" s="51"/>
      <c r="G25" s="15"/>
      <c r="H25" s="4"/>
    </row>
    <row r="26" spans="1:8" x14ac:dyDescent="0.3">
      <c r="A26" s="2"/>
      <c r="B26" s="25"/>
      <c r="C26" s="25"/>
      <c r="D26" s="25"/>
      <c r="E26" s="4" t="str">
        <f>'Quick Summary'!C29</f>
        <v>Average Yearly Benefits</v>
      </c>
      <c r="F26" s="49">
        <f>'Quick Summary'!D29</f>
        <v>6850592.0335499756</v>
      </c>
      <c r="G26" s="4" t="str">
        <f>'Quick Summary'!E29</f>
        <v>$2025</v>
      </c>
      <c r="H26" s="25"/>
    </row>
    <row r="27" spans="1:8" ht="5.25" customHeight="1" x14ac:dyDescent="0.3">
      <c r="A27" s="2"/>
      <c r="B27" s="4"/>
      <c r="C27" s="4"/>
      <c r="D27" s="4"/>
      <c r="E27" s="4"/>
      <c r="F27" s="28"/>
      <c r="G27" s="25"/>
      <c r="H27" s="4"/>
    </row>
    <row r="28" spans="1:8" x14ac:dyDescent="0.3">
      <c r="A28" s="2"/>
      <c r="B28" s="4"/>
      <c r="C28" s="1" t="str">
        <f>'Quick Summary'!B31</f>
        <v>COSTS</v>
      </c>
      <c r="D28" s="4"/>
      <c r="E28" s="4"/>
      <c r="F28" s="50"/>
      <c r="G28" s="25"/>
      <c r="H28" s="4"/>
    </row>
    <row r="29" spans="1:8" ht="5.25" customHeight="1" x14ac:dyDescent="0.3">
      <c r="A29" s="2"/>
      <c r="B29" s="4"/>
      <c r="C29" s="22"/>
      <c r="D29" s="4"/>
      <c r="E29" s="4"/>
      <c r="F29" s="28"/>
      <c r="G29" s="25"/>
      <c r="H29" s="4"/>
    </row>
    <row r="30" spans="1:8" x14ac:dyDescent="0.3">
      <c r="A30" s="2"/>
      <c r="B30" s="4"/>
      <c r="C30" s="4"/>
      <c r="D30" s="4"/>
      <c r="E30" s="27" t="str">
        <f>'Quick Summary'!C33</f>
        <v>Analysis Length (Including Construction)</v>
      </c>
      <c r="F30" s="27">
        <f>'Quick Summary'!D33</f>
        <v>24</v>
      </c>
      <c r="G30" s="27" t="str">
        <f>'Quick Summary'!E33</f>
        <v>years</v>
      </c>
      <c r="H30" s="4"/>
    </row>
    <row r="31" spans="1:8" ht="5.25" customHeight="1" x14ac:dyDescent="0.3">
      <c r="A31" s="2"/>
      <c r="B31" s="4"/>
      <c r="C31" s="4"/>
      <c r="D31" s="4"/>
      <c r="E31" s="4"/>
      <c r="F31" s="28"/>
      <c r="G31" s="25"/>
      <c r="H31" s="4"/>
    </row>
    <row r="32" spans="1:8" x14ac:dyDescent="0.3">
      <c r="A32" s="2"/>
      <c r="B32" s="4"/>
      <c r="C32" s="4"/>
      <c r="D32" s="4"/>
      <c r="E32" s="4" t="str">
        <f>'Quick Summary'!C35</f>
        <v>Capital Costs</v>
      </c>
      <c r="F32" s="49">
        <f>'Quick Summary'!D36</f>
        <v>28396816.453261591</v>
      </c>
      <c r="G32" s="4" t="str">
        <f>'Quick Summary'!E35</f>
        <v>2025$ in 2025</v>
      </c>
      <c r="H32" s="4"/>
    </row>
    <row r="33" spans="1:8" x14ac:dyDescent="0.3">
      <c r="A33" s="2"/>
      <c r="B33" s="4"/>
      <c r="C33" s="4"/>
      <c r="D33" s="4"/>
      <c r="E33" s="4" t="str">
        <f>'Quick Summary'!C36</f>
        <v>O&amp;M Costs</v>
      </c>
      <c r="F33" s="49" t="e">
        <f>'Quick Summary'!#REF!</f>
        <v>#REF!</v>
      </c>
      <c r="G33" s="4" t="str">
        <f>'Quick Summary'!E36</f>
        <v>2025$ in 2025</v>
      </c>
      <c r="H33" s="4"/>
    </row>
    <row r="34" spans="1:8" x14ac:dyDescent="0.3">
      <c r="A34" s="2"/>
      <c r="B34" s="4"/>
      <c r="C34" s="4"/>
      <c r="D34" s="4"/>
      <c r="E34" s="4" t="e">
        <f>'Quick Summary'!#REF!</f>
        <v>#REF!</v>
      </c>
      <c r="F34" s="49" t="e">
        <f>'Quick Summary'!#REF!</f>
        <v>#REF!</v>
      </c>
      <c r="G34" s="4" t="e">
        <f>'Quick Summary'!#REF!</f>
        <v>#REF!</v>
      </c>
      <c r="H34" s="4"/>
    </row>
    <row r="35" spans="1:8" x14ac:dyDescent="0.3">
      <c r="A35" s="2"/>
      <c r="B35" s="4"/>
      <c r="C35" s="4"/>
      <c r="D35" s="4"/>
      <c r="E35" s="4" t="e">
        <f>'Quick Summary'!#REF!</f>
        <v>#REF!</v>
      </c>
      <c r="F35" s="49" t="e">
        <f>'Quick Summary'!#REF!</f>
        <v>#REF!</v>
      </c>
      <c r="G35" s="4" t="e">
        <f>'Quick Summary'!#REF!</f>
        <v>#REF!</v>
      </c>
      <c r="H35" s="4"/>
    </row>
    <row r="36" spans="1:8" ht="6" customHeight="1" x14ac:dyDescent="0.3">
      <c r="A36" s="2"/>
      <c r="B36" s="4"/>
      <c r="C36" s="4"/>
      <c r="D36" s="4"/>
      <c r="E36" s="4"/>
      <c r="F36" s="50"/>
      <c r="G36" s="25"/>
      <c r="H36" s="4"/>
    </row>
    <row r="37" spans="1:8" x14ac:dyDescent="0.3">
      <c r="A37" s="2"/>
      <c r="B37" s="4"/>
      <c r="C37" s="4"/>
      <c r="D37" s="4"/>
      <c r="E37" s="4" t="str">
        <f>'Quick Summary'!C38</f>
        <v>TOTAL  COSTS</v>
      </c>
      <c r="F37" s="49">
        <f>'Quick Summary'!D38</f>
        <v>50716688.057874545</v>
      </c>
      <c r="G37" s="4" t="str">
        <f>'Quick Summary'!E38</f>
        <v>$2025</v>
      </c>
      <c r="H37" s="4"/>
    </row>
    <row r="38" spans="1:8" ht="6" customHeight="1" x14ac:dyDescent="0.3">
      <c r="A38" s="2"/>
      <c r="B38" s="4"/>
      <c r="C38" s="4"/>
      <c r="D38" s="4"/>
      <c r="E38" s="4"/>
      <c r="F38" s="50"/>
      <c r="G38" s="25"/>
      <c r="H38" s="4"/>
    </row>
    <row r="39" spans="1:8" x14ac:dyDescent="0.3">
      <c r="A39" s="2"/>
      <c r="B39" s="4"/>
      <c r="C39" s="4"/>
      <c r="D39" s="4"/>
      <c r="E39" s="4" t="str">
        <f>'Quick Summary'!C40</f>
        <v>Average Yearly Costs</v>
      </c>
      <c r="F39" s="49">
        <f>'Quick Summary'!D40</f>
        <v>2113195.3357447726</v>
      </c>
      <c r="G39" s="4" t="str">
        <f>'Quick Summary'!E40</f>
        <v>$2025</v>
      </c>
      <c r="H39" s="4"/>
    </row>
    <row r="40" spans="1:8" ht="6" customHeight="1" x14ac:dyDescent="0.3">
      <c r="A40" s="2"/>
      <c r="B40" s="4"/>
      <c r="C40" s="4"/>
      <c r="D40" s="4"/>
      <c r="E40" s="4"/>
      <c r="F40" s="50"/>
      <c r="G40" s="25"/>
      <c r="H40" s="4"/>
    </row>
    <row r="41" spans="1:8" x14ac:dyDescent="0.3">
      <c r="A41" s="2"/>
      <c r="C41" s="1" t="str">
        <f>'Quick Summary'!B42</f>
        <v>SENSITIVITY TESTING</v>
      </c>
      <c r="E41" s="4"/>
      <c r="F41" s="4"/>
      <c r="G41" s="4"/>
    </row>
    <row r="42" spans="1:8" x14ac:dyDescent="0.3">
      <c r="A42" s="2"/>
      <c r="E42" s="4"/>
      <c r="H42" s="24"/>
    </row>
    <row r="43" spans="1:8" x14ac:dyDescent="0.3">
      <c r="A43" s="2"/>
      <c r="E43" s="4">
        <f>'Quick Summary'!C44</f>
        <v>0</v>
      </c>
      <c r="F43" s="49">
        <f>'Quick Summary'!D44</f>
        <v>0</v>
      </c>
      <c r="G43" s="4">
        <f>'Quick Summary'!E44</f>
        <v>0</v>
      </c>
    </row>
    <row r="44" spans="1:8" x14ac:dyDescent="0.3">
      <c r="A44" s="2"/>
      <c r="E44" s="4">
        <f>'Quick Summary'!C45</f>
        <v>0</v>
      </c>
      <c r="F44" s="49">
        <f>'Quick Summary'!D45</f>
        <v>0</v>
      </c>
      <c r="G44" s="4">
        <f>'Quick Summary'!E45</f>
        <v>0</v>
      </c>
    </row>
    <row r="45" spans="1:8" x14ac:dyDescent="0.3">
      <c r="A45" s="2"/>
      <c r="E45" s="4"/>
    </row>
    <row r="46" spans="1:8" x14ac:dyDescent="0.3">
      <c r="A46" s="2"/>
      <c r="E46" s="2">
        <f>'Quick Summary'!C47</f>
        <v>0</v>
      </c>
      <c r="F46" s="49">
        <f>'Quick Summary'!D47</f>
        <v>0</v>
      </c>
      <c r="G46" s="4">
        <f>'Quick Summary'!E47</f>
        <v>0</v>
      </c>
    </row>
    <row r="47" spans="1:8" s="1" customFormat="1" x14ac:dyDescent="0.3">
      <c r="E47" s="1">
        <f>'Quick Summary'!C48</f>
        <v>0</v>
      </c>
      <c r="F47" s="22">
        <f>'Quick Summary'!D48</f>
        <v>0</v>
      </c>
      <c r="G47" s="4"/>
    </row>
    <row r="48" spans="1:8" x14ac:dyDescent="0.3">
      <c r="A48" s="2"/>
      <c r="F48" s="49"/>
    </row>
    <row r="49" spans="1:7" x14ac:dyDescent="0.3">
      <c r="A49" s="2"/>
      <c r="E49" s="4">
        <f>'Quick Summary'!C50</f>
        <v>0</v>
      </c>
      <c r="F49" s="26">
        <f>'Quick Summary'!D50</f>
        <v>0</v>
      </c>
      <c r="G49" s="4">
        <f>'Quick Summary'!E50</f>
        <v>0</v>
      </c>
    </row>
    <row r="50" spans="1:7" x14ac:dyDescent="0.3">
      <c r="A50" s="2"/>
      <c r="E50" s="4">
        <f>'Quick Summary'!C51</f>
        <v>0</v>
      </c>
      <c r="F50" s="26">
        <f>'Quick Summary'!D51</f>
        <v>0</v>
      </c>
      <c r="G50" s="4">
        <f>'Quick Summary'!E51</f>
        <v>0</v>
      </c>
    </row>
    <row r="51" spans="1:7" x14ac:dyDescent="0.3">
      <c r="A51" s="2"/>
      <c r="E51" s="4"/>
      <c r="F51" s="26"/>
      <c r="G51" s="4"/>
    </row>
    <row r="52" spans="1:7" x14ac:dyDescent="0.3">
      <c r="A52" s="2"/>
      <c r="E52" s="4">
        <f>'Quick Summary'!C53</f>
        <v>0</v>
      </c>
      <c r="F52" s="26">
        <f>'Quick Summary'!D53</f>
        <v>0</v>
      </c>
      <c r="G52" s="4">
        <f>'Quick Summary'!E53</f>
        <v>0</v>
      </c>
    </row>
    <row r="53" spans="1:7" s="1" customFormat="1" x14ac:dyDescent="0.3">
      <c r="E53" s="22">
        <f>'Quick Summary'!C54</f>
        <v>0</v>
      </c>
      <c r="F53" s="22">
        <f>'Quick Summary'!D54</f>
        <v>0</v>
      </c>
      <c r="G53" s="4"/>
    </row>
    <row r="54" spans="1:7" x14ac:dyDescent="0.3">
      <c r="A54" s="2"/>
      <c r="E54" s="4"/>
      <c r="F54" s="4"/>
      <c r="G54" s="4"/>
    </row>
    <row r="55" spans="1:7" hidden="1" x14ac:dyDescent="0.3">
      <c r="A55" s="2"/>
      <c r="E55" s="4"/>
      <c r="F55" s="4"/>
      <c r="G55" s="4"/>
    </row>
    <row r="56" spans="1:7" hidden="1" x14ac:dyDescent="0.3">
      <c r="A56" s="2"/>
      <c r="E56" s="4"/>
      <c r="F56" s="4"/>
      <c r="G56" s="4"/>
    </row>
    <row r="57" spans="1:7" hidden="1" x14ac:dyDescent="0.3">
      <c r="A57" s="2"/>
      <c r="E57" s="4"/>
      <c r="F57" s="4"/>
      <c r="G57" s="4"/>
    </row>
    <row r="58" spans="1:7" hidden="1" x14ac:dyDescent="0.3">
      <c r="A58" s="2"/>
      <c r="E58" s="4"/>
      <c r="F58" s="4"/>
      <c r="G58" s="4"/>
    </row>
    <row r="59" spans="1:7" hidden="1" x14ac:dyDescent="0.3">
      <c r="A59" s="2"/>
      <c r="E59" s="4"/>
      <c r="F59" s="4"/>
      <c r="G59" s="4"/>
    </row>
    <row r="60" spans="1:7" hidden="1" x14ac:dyDescent="0.3">
      <c r="A60" s="2"/>
      <c r="E60" s="4"/>
      <c r="F60" s="4"/>
      <c r="G60" s="4"/>
    </row>
    <row r="61" spans="1:7" hidden="1" x14ac:dyDescent="0.3">
      <c r="A61" s="2"/>
      <c r="E61" s="4"/>
      <c r="F61" s="4"/>
      <c r="G61" s="4"/>
    </row>
    <row r="62" spans="1:7" hidden="1" x14ac:dyDescent="0.3">
      <c r="A62" s="2"/>
      <c r="E62" s="4"/>
      <c r="F62" s="4"/>
      <c r="G62" s="4"/>
    </row>
    <row r="63" spans="1:7" hidden="1" x14ac:dyDescent="0.3">
      <c r="A63" s="2"/>
      <c r="E63" s="4"/>
      <c r="F63" s="4"/>
      <c r="G63" s="4"/>
    </row>
    <row r="64" spans="1:7" hidden="1" x14ac:dyDescent="0.3">
      <c r="A64" s="2"/>
    </row>
    <row r="65" spans="1:1" hidden="1" x14ac:dyDescent="0.3">
      <c r="A65" s="2"/>
    </row>
    <row r="66" spans="1:1" hidden="1" x14ac:dyDescent="0.3">
      <c r="A66" s="2"/>
    </row>
    <row r="67" spans="1:1" hidden="1" x14ac:dyDescent="0.3">
      <c r="A67" s="2"/>
    </row>
  </sheetData>
  <pageMargins left="0.7" right="0.7" top="0.75" bottom="0.75" header="0.3" footer="0.3"/>
  <pageSetup orientation="portrait" horizontalDpi="30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C00000"/>
    <pageSetUpPr fitToPage="1"/>
  </sheetPr>
  <dimension ref="A1:XFC204"/>
  <sheetViews>
    <sheetView zoomScale="115" zoomScaleNormal="115" workbookViewId="0">
      <selection activeCell="G54" sqref="G54"/>
    </sheetView>
  </sheetViews>
  <sheetFormatPr defaultColWidth="0" defaultRowHeight="14.4" zeroHeight="1" x14ac:dyDescent="0.3"/>
  <cols>
    <col min="1" max="3" width="1.5546875" style="55" customWidth="1"/>
    <col min="4" max="4" width="72.5546875" style="55" bestFit="1" customWidth="1"/>
    <col min="5" max="5" width="12.44140625" style="55" customWidth="1"/>
    <col min="6" max="6" width="37.44140625" style="55" customWidth="1"/>
    <col min="7" max="7" width="12.5546875" style="64" bestFit="1" customWidth="1"/>
    <col min="8" max="8" width="2.6640625" style="55" bestFit="1" customWidth="1"/>
    <col min="9" max="10" width="1.5546875" style="55" customWidth="1"/>
    <col min="11" max="14" width="4.5546875" style="55" hidden="1" customWidth="1"/>
    <col min="15" max="15" width="0" style="55" hidden="1" customWidth="1"/>
    <col min="16" max="16383" width="4.5546875" style="55" hidden="1"/>
    <col min="16384" max="16384" width="82.77734375" style="55" hidden="1" customWidth="1"/>
  </cols>
  <sheetData>
    <row r="1" spans="2:10" ht="9.75" customHeight="1" thickBot="1" x14ac:dyDescent="0.35">
      <c r="B1" s="57"/>
      <c r="C1" s="57"/>
      <c r="D1" s="66"/>
    </row>
    <row r="2" spans="2:10" ht="18.600000000000001" thickTop="1" x14ac:dyDescent="0.35">
      <c r="B2" s="99"/>
      <c r="C2" s="179" t="s">
        <v>81</v>
      </c>
      <c r="D2" s="179"/>
      <c r="E2" s="179"/>
      <c r="F2" s="179"/>
      <c r="G2" s="179"/>
      <c r="H2" s="179"/>
      <c r="I2" s="100"/>
      <c r="J2" s="102"/>
    </row>
    <row r="3" spans="2:10" ht="5.25" customHeight="1" x14ac:dyDescent="0.3">
      <c r="B3" s="101"/>
      <c r="C3" s="57"/>
      <c r="D3" s="66"/>
      <c r="J3" s="102"/>
    </row>
    <row r="4" spans="2:10" ht="15" customHeight="1" x14ac:dyDescent="0.3">
      <c r="B4" s="101"/>
      <c r="C4" s="182" t="s">
        <v>82</v>
      </c>
      <c r="D4" s="182"/>
      <c r="E4" s="182"/>
      <c r="F4" s="182"/>
      <c r="G4" s="182"/>
      <c r="H4" s="62"/>
      <c r="I4" s="62"/>
      <c r="J4" s="106"/>
    </row>
    <row r="5" spans="2:10" x14ac:dyDescent="0.3">
      <c r="B5" s="101"/>
      <c r="C5" s="182"/>
      <c r="D5" s="182"/>
      <c r="E5" s="182"/>
      <c r="F5" s="182"/>
      <c r="G5" s="182"/>
      <c r="H5" s="62"/>
      <c r="I5" s="62"/>
      <c r="J5" s="106"/>
    </row>
    <row r="6" spans="2:10" ht="5.25" customHeight="1" thickBot="1" x14ac:dyDescent="0.35">
      <c r="B6" s="101"/>
      <c r="C6" s="57"/>
      <c r="D6" s="66"/>
      <c r="J6" s="102"/>
    </row>
    <row r="7" spans="2:10" x14ac:dyDescent="0.3">
      <c r="B7" s="102"/>
      <c r="C7" s="81" t="s">
        <v>83</v>
      </c>
      <c r="D7" s="82"/>
      <c r="E7" s="82"/>
      <c r="F7" s="82"/>
      <c r="G7" s="83"/>
      <c r="H7" s="84"/>
      <c r="J7" s="102"/>
    </row>
    <row r="8" spans="2:10" ht="5.25" customHeight="1" x14ac:dyDescent="0.3">
      <c r="B8" s="101"/>
      <c r="C8" s="85"/>
      <c r="D8" s="66"/>
      <c r="H8" s="86"/>
      <c r="J8" s="102"/>
    </row>
    <row r="9" spans="2:10" x14ac:dyDescent="0.3">
      <c r="B9" s="102"/>
      <c r="C9" s="87"/>
      <c r="D9" s="57" t="s">
        <v>84</v>
      </c>
      <c r="F9" s="185" t="s">
        <v>85</v>
      </c>
      <c r="G9" s="186"/>
      <c r="H9" s="86"/>
      <c r="J9" s="102"/>
    </row>
    <row r="10" spans="2:10" ht="5.25" customHeight="1" thickBot="1" x14ac:dyDescent="0.35">
      <c r="B10" s="101"/>
      <c r="C10" s="85"/>
      <c r="D10" s="66"/>
      <c r="H10" s="86"/>
      <c r="J10" s="102"/>
    </row>
    <row r="11" spans="2:10" ht="15.6" thickTop="1" thickBot="1" x14ac:dyDescent="0.35">
      <c r="B11" s="101"/>
      <c r="C11" s="85"/>
      <c r="D11" s="57" t="s">
        <v>86</v>
      </c>
      <c r="F11" s="183" t="s">
        <v>87</v>
      </c>
      <c r="G11" s="184"/>
      <c r="H11" s="86"/>
      <c r="J11" s="102"/>
    </row>
    <row r="12" spans="2:10" ht="15" thickTop="1" x14ac:dyDescent="0.3">
      <c r="B12" s="101"/>
      <c r="C12" s="85"/>
      <c r="D12" s="72" t="s">
        <v>88</v>
      </c>
      <c r="H12" s="86"/>
      <c r="J12" s="102"/>
    </row>
    <row r="13" spans="2:10" ht="5.25" customHeight="1" thickBot="1" x14ac:dyDescent="0.35">
      <c r="B13" s="101"/>
      <c r="C13" s="88"/>
      <c r="D13" s="89"/>
      <c r="E13" s="90"/>
      <c r="F13" s="90"/>
      <c r="G13" s="91"/>
      <c r="H13" s="92"/>
      <c r="J13" s="102"/>
    </row>
    <row r="14" spans="2:10" ht="5.25" customHeight="1" thickBot="1" x14ac:dyDescent="0.35">
      <c r="B14" s="101"/>
      <c r="C14" s="57"/>
      <c r="D14" s="66"/>
      <c r="J14" s="102"/>
    </row>
    <row r="15" spans="2:10" x14ac:dyDescent="0.3">
      <c r="B15" s="101"/>
      <c r="C15" s="81" t="s">
        <v>89</v>
      </c>
      <c r="D15" s="82"/>
      <c r="E15" s="82"/>
      <c r="F15" s="82"/>
      <c r="G15" s="83"/>
      <c r="H15" s="84"/>
      <c r="J15" s="102"/>
    </row>
    <row r="16" spans="2:10" ht="5.25" customHeight="1" x14ac:dyDescent="0.3">
      <c r="B16" s="101"/>
      <c r="C16" s="85"/>
      <c r="D16" s="66"/>
      <c r="H16" s="86"/>
      <c r="J16" s="102"/>
    </row>
    <row r="17" spans="2:14" x14ac:dyDescent="0.3">
      <c r="B17" s="101"/>
      <c r="C17" s="85"/>
      <c r="D17" s="57" t="s">
        <v>18</v>
      </c>
      <c r="G17" s="71" t="str">
        <f>IF(G18&gt;0,0,IFERROR(VLOOKUP($F$11,#REF!,2,FALSE)," "))</f>
        <v xml:space="preserve"> </v>
      </c>
      <c r="H17" s="86"/>
      <c r="J17" s="102"/>
      <c r="K17" s="58"/>
      <c r="L17" s="57"/>
    </row>
    <row r="18" spans="2:14" x14ac:dyDescent="0.3">
      <c r="B18" s="102"/>
      <c r="C18" s="87"/>
      <c r="D18" s="73" t="s">
        <v>90</v>
      </c>
      <c r="E18" s="61"/>
      <c r="F18" s="61"/>
      <c r="G18" s="67"/>
      <c r="H18" s="93"/>
      <c r="I18" s="59"/>
      <c r="J18" s="107"/>
      <c r="K18" s="60"/>
      <c r="L18" s="60"/>
      <c r="M18" s="60"/>
      <c r="N18" s="60"/>
    </row>
    <row r="19" spans="2:14" ht="5.25" customHeight="1" x14ac:dyDescent="0.3">
      <c r="B19" s="101"/>
      <c r="C19" s="85"/>
      <c r="D19" s="66"/>
      <c r="H19" s="86"/>
      <c r="J19" s="102"/>
    </row>
    <row r="20" spans="2:14" x14ac:dyDescent="0.3">
      <c r="B20" s="102"/>
      <c r="C20" s="87"/>
      <c r="D20" s="153" t="s">
        <v>91</v>
      </c>
      <c r="G20" s="168">
        <f>+SUM(G69,G78,G87,G96,G105,G114,G121,G128,G135,G142,G150,G157)</f>
        <v>104</v>
      </c>
      <c r="H20" s="86"/>
      <c r="J20" s="102"/>
    </row>
    <row r="21" spans="2:14" ht="5.25" customHeight="1" x14ac:dyDescent="0.3">
      <c r="B21" s="101"/>
      <c r="C21" s="85"/>
      <c r="D21" s="66"/>
      <c r="H21" s="86"/>
      <c r="J21" s="102"/>
    </row>
    <row r="22" spans="2:14" x14ac:dyDescent="0.3">
      <c r="B22" s="102"/>
      <c r="C22" s="87"/>
      <c r="D22" s="153" t="s">
        <v>92</v>
      </c>
      <c r="G22" s="168">
        <v>200</v>
      </c>
      <c r="H22" s="86"/>
      <c r="J22" s="102"/>
    </row>
    <row r="23" spans="2:14" ht="5.25" customHeight="1" x14ac:dyDescent="0.3">
      <c r="B23" s="101"/>
      <c r="C23" s="85"/>
      <c r="D23" s="66"/>
      <c r="H23" s="86"/>
      <c r="J23" s="102"/>
    </row>
    <row r="24" spans="2:14" x14ac:dyDescent="0.3">
      <c r="B24" s="102"/>
      <c r="C24" s="87"/>
      <c r="D24" s="74" t="s">
        <v>20</v>
      </c>
      <c r="E24" s="61"/>
      <c r="F24" s="61"/>
      <c r="G24" s="70" t="e">
        <f>IF(G25=0,#REF!,0)</f>
        <v>#REF!</v>
      </c>
      <c r="H24" s="93"/>
      <c r="I24" s="59"/>
      <c r="J24" s="107"/>
      <c r="K24" s="60"/>
      <c r="L24" s="60"/>
      <c r="M24" s="60"/>
      <c r="N24" s="60"/>
    </row>
    <row r="25" spans="2:14" x14ac:dyDescent="0.3">
      <c r="B25" s="102"/>
      <c r="C25" s="87"/>
      <c r="D25" s="73" t="s">
        <v>90</v>
      </c>
      <c r="E25" s="61"/>
      <c r="F25" s="61"/>
      <c r="G25" s="69"/>
      <c r="H25" s="93"/>
      <c r="I25" s="59"/>
      <c r="J25" s="107"/>
      <c r="K25" s="60"/>
      <c r="L25" s="60"/>
      <c r="M25" s="60"/>
      <c r="N25" s="60"/>
    </row>
    <row r="26" spans="2:14" ht="5.25" customHeight="1" x14ac:dyDescent="0.3">
      <c r="B26" s="101"/>
      <c r="C26" s="85"/>
      <c r="D26" s="66"/>
      <c r="H26" s="86"/>
      <c r="J26" s="102"/>
    </row>
    <row r="27" spans="2:14" x14ac:dyDescent="0.3">
      <c r="B27" s="102"/>
      <c r="C27" s="87"/>
      <c r="D27" s="57" t="s">
        <v>21</v>
      </c>
      <c r="G27" s="70" t="e">
        <f>IF(G28=0,#REF!,0)</f>
        <v>#REF!</v>
      </c>
      <c r="H27" s="86"/>
      <c r="J27" s="102"/>
    </row>
    <row r="28" spans="2:14" x14ac:dyDescent="0.3">
      <c r="B28" s="102"/>
      <c r="C28" s="87"/>
      <c r="D28" s="73" t="s">
        <v>93</v>
      </c>
      <c r="E28" s="61"/>
      <c r="F28" s="61"/>
      <c r="G28" s="69"/>
      <c r="H28" s="93"/>
      <c r="I28" s="59"/>
      <c r="J28" s="107"/>
      <c r="K28" s="60"/>
      <c r="L28" s="60"/>
      <c r="M28" s="60"/>
      <c r="N28" s="60"/>
    </row>
    <row r="29" spans="2:14" ht="5.25" customHeight="1" thickBot="1" x14ac:dyDescent="0.35">
      <c r="B29" s="101"/>
      <c r="C29" s="88"/>
      <c r="D29" s="89"/>
      <c r="E29" s="90"/>
      <c r="F29" s="90"/>
      <c r="G29" s="91"/>
      <c r="H29" s="92"/>
      <c r="J29" s="102"/>
    </row>
    <row r="30" spans="2:14" ht="5.25" customHeight="1" thickBot="1" x14ac:dyDescent="0.35">
      <c r="B30" s="101"/>
      <c r="C30" s="57"/>
      <c r="D30" s="66"/>
      <c r="J30" s="102"/>
    </row>
    <row r="31" spans="2:14" x14ac:dyDescent="0.3">
      <c r="B31" s="102"/>
      <c r="C31" s="81" t="s">
        <v>94</v>
      </c>
      <c r="D31" s="94"/>
      <c r="E31" s="94"/>
      <c r="F31" s="94"/>
      <c r="G31" s="95"/>
      <c r="H31" s="96"/>
      <c r="I31" s="61"/>
      <c r="J31" s="108"/>
      <c r="K31" s="61"/>
      <c r="L31" s="61"/>
    </row>
    <row r="32" spans="2:14" ht="15" customHeight="1" x14ac:dyDescent="0.3">
      <c r="B32" s="102"/>
      <c r="C32" s="180" t="s">
        <v>95</v>
      </c>
      <c r="D32" s="181"/>
      <c r="E32" s="181"/>
      <c r="F32" s="181"/>
      <c r="G32" s="181"/>
      <c r="H32" s="97"/>
      <c r="I32" s="75"/>
      <c r="J32" s="109"/>
      <c r="K32" s="61"/>
      <c r="L32" s="61"/>
    </row>
    <row r="33" spans="2:14" x14ac:dyDescent="0.3">
      <c r="B33" s="102"/>
      <c r="C33" s="180"/>
      <c r="D33" s="181"/>
      <c r="E33" s="181"/>
      <c r="F33" s="181"/>
      <c r="G33" s="181"/>
      <c r="H33" s="97"/>
      <c r="I33" s="75"/>
      <c r="J33" s="109"/>
      <c r="K33" s="61"/>
      <c r="L33" s="61"/>
    </row>
    <row r="34" spans="2:14" x14ac:dyDescent="0.3">
      <c r="B34" s="102"/>
      <c r="C34" s="180"/>
      <c r="D34" s="181"/>
      <c r="E34" s="181"/>
      <c r="F34" s="181"/>
      <c r="G34" s="181"/>
      <c r="H34" s="97"/>
      <c r="I34" s="75"/>
      <c r="J34" s="109"/>
      <c r="K34" s="61"/>
      <c r="L34" s="61"/>
    </row>
    <row r="35" spans="2:14" ht="5.25" customHeight="1" x14ac:dyDescent="0.3">
      <c r="B35" s="101"/>
      <c r="C35" s="85"/>
      <c r="D35" s="66"/>
      <c r="H35" s="86"/>
      <c r="J35" s="102"/>
    </row>
    <row r="36" spans="2:14" x14ac:dyDescent="0.3">
      <c r="B36" s="101"/>
      <c r="C36" s="85"/>
      <c r="D36" s="66" t="s">
        <v>96</v>
      </c>
      <c r="G36" s="173">
        <v>2.7</v>
      </c>
      <c r="H36" s="86"/>
      <c r="J36" s="102"/>
    </row>
    <row r="37" spans="2:14" x14ac:dyDescent="0.3">
      <c r="B37" s="102"/>
      <c r="C37" s="87"/>
      <c r="D37" s="57" t="s">
        <v>97</v>
      </c>
      <c r="F37" s="170"/>
      <c r="G37" s="169">
        <f>27.42*G36</f>
        <v>74.034000000000006</v>
      </c>
      <c r="H37" s="86"/>
      <c r="J37" s="102"/>
    </row>
    <row r="38" spans="2:14" x14ac:dyDescent="0.3">
      <c r="B38" s="101"/>
      <c r="C38" s="85"/>
      <c r="D38" s="66"/>
      <c r="H38" s="86"/>
      <c r="J38" s="102"/>
    </row>
    <row r="39" spans="2:14" x14ac:dyDescent="0.3">
      <c r="B39" s="101"/>
      <c r="C39" s="85"/>
      <c r="D39" s="57" t="s">
        <v>98</v>
      </c>
      <c r="G39" s="169">
        <f>27.42*G36</f>
        <v>74.034000000000006</v>
      </c>
      <c r="H39" s="86"/>
      <c r="J39" s="102"/>
    </row>
    <row r="40" spans="2:14" x14ac:dyDescent="0.3">
      <c r="B40" s="101"/>
      <c r="C40" s="85"/>
      <c r="D40" s="66"/>
      <c r="H40" s="86"/>
      <c r="J40" s="102"/>
    </row>
    <row r="41" spans="2:14" x14ac:dyDescent="0.3">
      <c r="B41" s="102"/>
      <c r="C41" s="87"/>
      <c r="D41" s="57" t="s">
        <v>99</v>
      </c>
      <c r="E41" s="61"/>
      <c r="F41" s="61"/>
      <c r="G41" s="169">
        <f>35.2*G36</f>
        <v>95.04000000000002</v>
      </c>
      <c r="H41" s="93"/>
      <c r="I41" s="59"/>
      <c r="J41" s="107"/>
      <c r="K41" s="60"/>
      <c r="L41" s="60"/>
      <c r="M41" s="60"/>
      <c r="N41" s="60"/>
    </row>
    <row r="42" spans="2:14" ht="5.25" customHeight="1" thickBot="1" x14ac:dyDescent="0.35">
      <c r="B42" s="101"/>
      <c r="C42" s="88"/>
      <c r="D42" s="89"/>
      <c r="E42" s="90"/>
      <c r="F42" s="90"/>
      <c r="G42" s="91"/>
      <c r="H42" s="92"/>
      <c r="J42" s="102"/>
    </row>
    <row r="43" spans="2:14" ht="5.25" customHeight="1" thickBot="1" x14ac:dyDescent="0.35">
      <c r="B43" s="101"/>
      <c r="C43" s="57"/>
      <c r="D43" s="66"/>
      <c r="J43" s="102"/>
    </row>
    <row r="44" spans="2:14" x14ac:dyDescent="0.3">
      <c r="B44" s="102"/>
      <c r="C44" s="81" t="s">
        <v>100</v>
      </c>
      <c r="D44" s="82"/>
      <c r="E44" s="82"/>
      <c r="F44" s="82"/>
      <c r="G44" s="83"/>
      <c r="H44" s="84"/>
      <c r="J44" s="102"/>
    </row>
    <row r="45" spans="2:14" ht="15" customHeight="1" x14ac:dyDescent="0.3">
      <c r="B45" s="102"/>
      <c r="C45" s="177" t="s">
        <v>101</v>
      </c>
      <c r="D45" s="178"/>
      <c r="E45" s="178"/>
      <c r="F45" s="178"/>
      <c r="G45" s="178"/>
      <c r="H45" s="98"/>
      <c r="I45" s="80"/>
      <c r="J45" s="110"/>
    </row>
    <row r="46" spans="2:14" x14ac:dyDescent="0.3">
      <c r="B46" s="102"/>
      <c r="C46" s="177"/>
      <c r="D46" s="178"/>
      <c r="E46" s="178"/>
      <c r="F46" s="178"/>
      <c r="G46" s="178"/>
      <c r="H46" s="98"/>
      <c r="I46" s="80"/>
      <c r="J46" s="110"/>
    </row>
    <row r="47" spans="2:14" ht="5.25" customHeight="1" x14ac:dyDescent="0.3">
      <c r="B47" s="101"/>
      <c r="C47" s="85"/>
      <c r="D47" s="66"/>
      <c r="H47" s="86"/>
      <c r="J47" s="102"/>
    </row>
    <row r="48" spans="2:14" x14ac:dyDescent="0.3">
      <c r="B48" s="102"/>
      <c r="C48" s="87"/>
      <c r="D48" s="57" t="e">
        <f>#REF!</f>
        <v>#REF!</v>
      </c>
      <c r="G48" s="172"/>
      <c r="H48" s="86"/>
      <c r="J48" s="102"/>
    </row>
    <row r="49" spans="2:10" x14ac:dyDescent="0.3">
      <c r="B49" s="102"/>
      <c r="C49" s="87"/>
      <c r="D49" s="72" t="s">
        <v>102</v>
      </c>
      <c r="G49" s="77">
        <v>470000</v>
      </c>
      <c r="H49" s="86"/>
      <c r="J49" s="102"/>
    </row>
    <row r="50" spans="2:10" ht="5.25" customHeight="1" x14ac:dyDescent="0.3">
      <c r="B50" s="101"/>
      <c r="C50" s="85"/>
      <c r="D50" s="66"/>
      <c r="H50" s="86"/>
      <c r="J50" s="102"/>
    </row>
    <row r="51" spans="2:10" x14ac:dyDescent="0.3">
      <c r="B51" s="102"/>
      <c r="C51" s="87"/>
      <c r="D51" s="57" t="e">
        <f>IF(F11="Small Agencies (&lt;25k annual passengers)",#REF!,#REF!)</f>
        <v>#REF!</v>
      </c>
      <c r="G51" s="76" t="e">
        <f>IF($D$51=#REF!,#REF!,IF($D$51=#REF!,#REF!,0))</f>
        <v>#REF!</v>
      </c>
      <c r="H51" s="86"/>
      <c r="J51" s="102"/>
    </row>
    <row r="52" spans="2:10" x14ac:dyDescent="0.3">
      <c r="B52" s="102"/>
      <c r="C52" s="87"/>
      <c r="D52" s="72" t="e">
        <f>"If Total Current Value of Bus Maintenance Facility ("&amp;#REF!&amp;") differs from the average, please state here: "</f>
        <v>#REF!</v>
      </c>
      <c r="F52" s="147" t="s">
        <v>103</v>
      </c>
      <c r="G52" s="78">
        <v>45426877</v>
      </c>
      <c r="H52" s="86"/>
      <c r="J52" s="102"/>
    </row>
    <row r="53" spans="2:10" ht="5.25" customHeight="1" x14ac:dyDescent="0.3">
      <c r="B53" s="101"/>
      <c r="C53" s="85"/>
      <c r="D53" s="66"/>
      <c r="H53" s="86"/>
      <c r="J53" s="102"/>
    </row>
    <row r="54" spans="2:10" x14ac:dyDescent="0.3">
      <c r="B54" s="102"/>
      <c r="C54" s="87"/>
      <c r="D54" s="57" t="s">
        <v>24</v>
      </c>
      <c r="G54" s="68">
        <v>500</v>
      </c>
      <c r="H54" s="86"/>
      <c r="J54" s="102"/>
    </row>
    <row r="55" spans="2:10" x14ac:dyDescent="0.3">
      <c r="B55" s="102"/>
      <c r="C55" s="87"/>
      <c r="D55" s="79" t="s">
        <v>104</v>
      </c>
      <c r="H55" s="86"/>
      <c r="J55" s="102"/>
    </row>
    <row r="56" spans="2:10" ht="5.25" customHeight="1" thickBot="1" x14ac:dyDescent="0.35">
      <c r="B56" s="101"/>
      <c r="C56" s="88"/>
      <c r="D56" s="89"/>
      <c r="E56" s="90"/>
      <c r="F56" s="90"/>
      <c r="G56" s="91"/>
      <c r="H56" s="92"/>
      <c r="J56" s="102"/>
    </row>
    <row r="57" spans="2:10" ht="5.25" customHeight="1" x14ac:dyDescent="0.3">
      <c r="B57" s="101"/>
      <c r="C57" s="57"/>
      <c r="D57" s="66"/>
      <c r="J57" s="102"/>
    </row>
    <row r="58" spans="2:10" ht="5.25" customHeight="1" thickBot="1" x14ac:dyDescent="0.35">
      <c r="B58" s="101"/>
      <c r="C58" s="57"/>
      <c r="D58" s="66"/>
      <c r="J58" s="102"/>
    </row>
    <row r="59" spans="2:10" x14ac:dyDescent="0.3">
      <c r="B59" s="102"/>
      <c r="C59" s="81" t="s">
        <v>105</v>
      </c>
      <c r="D59" s="82"/>
      <c r="E59" s="82"/>
      <c r="F59" s="82"/>
      <c r="G59" s="83"/>
      <c r="H59" s="84"/>
      <c r="J59" s="102"/>
    </row>
    <row r="60" spans="2:10" ht="15" customHeight="1" x14ac:dyDescent="0.3">
      <c r="B60" s="102"/>
      <c r="C60" s="177" t="s">
        <v>106</v>
      </c>
      <c r="D60" s="178"/>
      <c r="E60" s="178"/>
      <c r="F60" s="178"/>
      <c r="G60" s="178"/>
      <c r="H60" s="98"/>
      <c r="I60" s="80"/>
      <c r="J60" s="110"/>
    </row>
    <row r="61" spans="2:10" x14ac:dyDescent="0.3">
      <c r="B61" s="102"/>
      <c r="C61" s="177"/>
      <c r="D61" s="178"/>
      <c r="E61" s="178"/>
      <c r="F61" s="178"/>
      <c r="G61" s="178"/>
      <c r="H61" s="98"/>
      <c r="I61" s="80"/>
      <c r="J61" s="110"/>
    </row>
    <row r="62" spans="2:10" ht="5.25" customHeight="1" x14ac:dyDescent="0.3">
      <c r="B62" s="101"/>
      <c r="C62" s="85"/>
      <c r="D62" s="66"/>
      <c r="H62" s="86"/>
      <c r="J62" s="102"/>
    </row>
    <row r="63" spans="2:10" x14ac:dyDescent="0.3">
      <c r="B63" s="102"/>
      <c r="C63" s="87"/>
      <c r="D63" s="111" t="s">
        <v>107</v>
      </c>
      <c r="H63" s="86"/>
      <c r="J63" s="102"/>
    </row>
    <row r="64" spans="2:10" ht="5.25" customHeight="1" x14ac:dyDescent="0.3">
      <c r="B64" s="101"/>
      <c r="C64" s="85"/>
      <c r="D64" s="66"/>
      <c r="H64" s="86"/>
      <c r="J64" s="102"/>
    </row>
    <row r="65" spans="2:10" x14ac:dyDescent="0.3">
      <c r="B65" s="102"/>
      <c r="C65" s="87"/>
      <c r="D65" s="57" t="s">
        <v>26</v>
      </c>
      <c r="G65" s="68">
        <v>2024</v>
      </c>
      <c r="H65" s="86"/>
      <c r="J65" s="102"/>
    </row>
    <row r="66" spans="2:10" ht="5.25" customHeight="1" x14ac:dyDescent="0.3">
      <c r="B66" s="101"/>
      <c r="C66" s="85"/>
      <c r="D66" s="66"/>
      <c r="H66" s="86"/>
      <c r="J66" s="102"/>
    </row>
    <row r="67" spans="2:10" x14ac:dyDescent="0.3">
      <c r="B67" s="102"/>
      <c r="C67" s="87"/>
      <c r="D67" s="57" t="s">
        <v>27</v>
      </c>
      <c r="G67" s="68">
        <v>1</v>
      </c>
      <c r="H67" s="86"/>
      <c r="J67" s="102"/>
    </row>
    <row r="68" spans="2:10" ht="5.25" customHeight="1" x14ac:dyDescent="0.3">
      <c r="B68" s="101"/>
      <c r="C68" s="85"/>
      <c r="D68" s="66"/>
      <c r="H68" s="86"/>
      <c r="J68" s="102"/>
    </row>
    <row r="69" spans="2:10" x14ac:dyDescent="0.3">
      <c r="B69" s="102"/>
      <c r="C69" s="87"/>
      <c r="D69" s="57" t="s">
        <v>28</v>
      </c>
      <c r="G69" s="154">
        <v>1</v>
      </c>
      <c r="H69" s="174">
        <v>1</v>
      </c>
      <c r="J69" s="102"/>
    </row>
    <row r="70" spans="2:10" x14ac:dyDescent="0.3">
      <c r="B70" s="102"/>
      <c r="C70" s="87"/>
      <c r="D70" s="57"/>
      <c r="G70" s="119" t="str">
        <f>"out of "&amp;$G$20</f>
        <v>out of 104</v>
      </c>
      <c r="H70" s="174"/>
      <c r="J70" s="102"/>
    </row>
    <row r="71" spans="2:10" ht="5.25" customHeight="1" x14ac:dyDescent="0.3">
      <c r="B71" s="101"/>
      <c r="C71" s="85"/>
      <c r="D71" s="66"/>
      <c r="H71" s="174"/>
      <c r="J71" s="102"/>
    </row>
    <row r="72" spans="2:10" x14ac:dyDescent="0.3">
      <c r="B72" s="102"/>
      <c r="C72" s="87"/>
      <c r="D72" s="111" t="s">
        <v>108</v>
      </c>
      <c r="H72" s="174"/>
      <c r="J72" s="102"/>
    </row>
    <row r="73" spans="2:10" ht="5.25" customHeight="1" x14ac:dyDescent="0.3">
      <c r="B73" s="101"/>
      <c r="C73" s="85"/>
      <c r="D73" s="66"/>
      <c r="H73" s="174"/>
      <c r="J73" s="102"/>
    </row>
    <row r="74" spans="2:10" x14ac:dyDescent="0.3">
      <c r="B74" s="102"/>
      <c r="C74" s="87"/>
      <c r="D74" s="57" t="s">
        <v>29</v>
      </c>
      <c r="G74" s="68">
        <v>2025</v>
      </c>
      <c r="H74" s="174"/>
      <c r="J74" s="102"/>
    </row>
    <row r="75" spans="2:10" ht="5.25" customHeight="1" x14ac:dyDescent="0.3">
      <c r="B75" s="101"/>
      <c r="C75" s="85"/>
      <c r="D75" s="66"/>
      <c r="H75" s="174"/>
      <c r="J75" s="102"/>
    </row>
    <row r="76" spans="2:10" x14ac:dyDescent="0.3">
      <c r="B76" s="102"/>
      <c r="C76" s="87"/>
      <c r="D76" s="57" t="s">
        <v>30</v>
      </c>
      <c r="G76" s="68">
        <v>1</v>
      </c>
      <c r="H76" s="174"/>
      <c r="J76" s="102"/>
    </row>
    <row r="77" spans="2:10" ht="5.25" customHeight="1" x14ac:dyDescent="0.3">
      <c r="B77" s="101"/>
      <c r="C77" s="85"/>
      <c r="D77" s="66"/>
      <c r="H77" s="174"/>
      <c r="J77" s="102"/>
    </row>
    <row r="78" spans="2:10" x14ac:dyDescent="0.3">
      <c r="B78" s="102"/>
      <c r="C78" s="87"/>
      <c r="D78" s="57" t="s">
        <v>31</v>
      </c>
      <c r="G78" s="154">
        <v>2</v>
      </c>
      <c r="H78" s="174">
        <v>3</v>
      </c>
      <c r="J78" s="102"/>
    </row>
    <row r="79" spans="2:10" x14ac:dyDescent="0.3">
      <c r="B79" s="102"/>
      <c r="C79" s="87"/>
      <c r="D79" s="57"/>
      <c r="G79" s="119" t="str">
        <f>"out of "&amp;$G$20</f>
        <v>out of 104</v>
      </c>
      <c r="H79" s="174"/>
      <c r="J79" s="102"/>
    </row>
    <row r="80" spans="2:10" ht="5.25" customHeight="1" x14ac:dyDescent="0.3">
      <c r="B80" s="101"/>
      <c r="C80" s="85"/>
      <c r="D80" s="66"/>
      <c r="H80" s="174"/>
      <c r="J80" s="102"/>
    </row>
    <row r="81" spans="2:10" x14ac:dyDescent="0.3">
      <c r="B81" s="102"/>
      <c r="C81" s="87"/>
      <c r="D81" s="111" t="s">
        <v>109</v>
      </c>
      <c r="H81" s="174"/>
      <c r="J81" s="102"/>
    </row>
    <row r="82" spans="2:10" ht="5.25" customHeight="1" x14ac:dyDescent="0.3">
      <c r="B82" s="101"/>
      <c r="C82" s="85"/>
      <c r="D82" s="66"/>
      <c r="H82" s="174"/>
      <c r="J82" s="102"/>
    </row>
    <row r="83" spans="2:10" x14ac:dyDescent="0.3">
      <c r="B83" s="102"/>
      <c r="C83" s="87"/>
      <c r="D83" s="57" t="s">
        <v>32</v>
      </c>
      <c r="G83" s="68">
        <v>2028</v>
      </c>
      <c r="H83" s="174"/>
      <c r="J83" s="102"/>
    </row>
    <row r="84" spans="2:10" ht="5.25" customHeight="1" x14ac:dyDescent="0.3">
      <c r="B84" s="101"/>
      <c r="C84" s="85"/>
      <c r="D84" s="66"/>
      <c r="H84" s="174"/>
      <c r="J84" s="102"/>
    </row>
    <row r="85" spans="2:10" x14ac:dyDescent="0.3">
      <c r="B85" s="102"/>
      <c r="C85" s="87"/>
      <c r="D85" s="57" t="s">
        <v>33</v>
      </c>
      <c r="G85" s="68">
        <v>1</v>
      </c>
      <c r="H85" s="174"/>
      <c r="J85" s="102"/>
    </row>
    <row r="86" spans="2:10" ht="5.25" customHeight="1" x14ac:dyDescent="0.3">
      <c r="B86" s="101"/>
      <c r="C86" s="85"/>
      <c r="D86" s="66"/>
      <c r="H86" s="174"/>
      <c r="J86" s="102"/>
    </row>
    <row r="87" spans="2:10" x14ac:dyDescent="0.3">
      <c r="B87" s="102"/>
      <c r="C87" s="87"/>
      <c r="D87" s="55" t="s">
        <v>34</v>
      </c>
      <c r="G87" s="68">
        <v>10</v>
      </c>
      <c r="H87" s="174">
        <v>20</v>
      </c>
      <c r="J87" s="102"/>
    </row>
    <row r="88" spans="2:10" x14ac:dyDescent="0.3">
      <c r="B88" s="102"/>
      <c r="C88" s="87"/>
      <c r="D88" s="57"/>
      <c r="G88" s="119" t="str">
        <f>"out of "&amp;$G$20</f>
        <v>out of 104</v>
      </c>
      <c r="H88" s="174"/>
      <c r="J88" s="102"/>
    </row>
    <row r="89" spans="2:10" ht="5.25" customHeight="1" x14ac:dyDescent="0.3">
      <c r="B89" s="101"/>
      <c r="C89" s="85"/>
      <c r="D89" s="66"/>
      <c r="H89" s="174"/>
      <c r="J89" s="102"/>
    </row>
    <row r="90" spans="2:10" x14ac:dyDescent="0.3">
      <c r="B90" s="102"/>
      <c r="C90" s="87"/>
      <c r="D90" s="111" t="s">
        <v>110</v>
      </c>
      <c r="H90" s="174"/>
      <c r="J90" s="102"/>
    </row>
    <row r="91" spans="2:10" ht="5.25" customHeight="1" x14ac:dyDescent="0.3">
      <c r="B91" s="101"/>
      <c r="C91" s="85"/>
      <c r="D91" s="66"/>
      <c r="H91" s="174"/>
      <c r="J91" s="102"/>
    </row>
    <row r="92" spans="2:10" x14ac:dyDescent="0.3">
      <c r="B92" s="102"/>
      <c r="C92" s="87"/>
      <c r="D92" s="57" t="s">
        <v>35</v>
      </c>
      <c r="G92" s="68">
        <v>2029</v>
      </c>
      <c r="H92" s="174"/>
      <c r="J92" s="102"/>
    </row>
    <row r="93" spans="2:10" ht="5.25" customHeight="1" x14ac:dyDescent="0.3">
      <c r="B93" s="101"/>
      <c r="C93" s="85"/>
      <c r="D93" s="66"/>
      <c r="H93" s="174"/>
      <c r="J93" s="102"/>
    </row>
    <row r="94" spans="2:10" x14ac:dyDescent="0.3">
      <c r="B94" s="102"/>
      <c r="C94" s="87"/>
      <c r="D94" s="57" t="s">
        <v>36</v>
      </c>
      <c r="G94" s="68">
        <v>1</v>
      </c>
      <c r="H94" s="174"/>
      <c r="J94" s="102"/>
    </row>
    <row r="95" spans="2:10" ht="5.25" customHeight="1" x14ac:dyDescent="0.3">
      <c r="B95" s="101"/>
      <c r="C95" s="85"/>
      <c r="D95" s="66"/>
      <c r="H95" s="174"/>
      <c r="J95" s="102"/>
    </row>
    <row r="96" spans="2:10" s="147" customFormat="1" x14ac:dyDescent="0.3">
      <c r="B96" s="148"/>
      <c r="C96" s="149"/>
      <c r="D96" s="55" t="s">
        <v>37</v>
      </c>
      <c r="G96" s="152">
        <v>10</v>
      </c>
      <c r="H96" s="174">
        <v>20</v>
      </c>
      <c r="J96" s="148"/>
    </row>
    <row r="97" spans="2:10" x14ac:dyDescent="0.3">
      <c r="B97" s="102"/>
      <c r="C97" s="87"/>
      <c r="D97" s="57"/>
      <c r="G97" s="119" t="str">
        <f>"out of "&amp;$G$20</f>
        <v>out of 104</v>
      </c>
      <c r="H97" s="174"/>
      <c r="J97" s="102"/>
    </row>
    <row r="98" spans="2:10" ht="5.25" customHeight="1" x14ac:dyDescent="0.3">
      <c r="B98" s="101"/>
      <c r="C98" s="85"/>
      <c r="D98" s="66"/>
      <c r="H98" s="174"/>
      <c r="J98" s="102"/>
    </row>
    <row r="99" spans="2:10" x14ac:dyDescent="0.3">
      <c r="B99" s="102"/>
      <c r="C99" s="87"/>
      <c r="D99" s="111" t="s">
        <v>111</v>
      </c>
      <c r="H99" s="174"/>
      <c r="J99" s="102"/>
    </row>
    <row r="100" spans="2:10" ht="5.25" customHeight="1" x14ac:dyDescent="0.3">
      <c r="B100" s="101"/>
      <c r="C100" s="85"/>
      <c r="D100" s="66"/>
      <c r="H100" s="174"/>
      <c r="J100" s="102"/>
    </row>
    <row r="101" spans="2:10" x14ac:dyDescent="0.3">
      <c r="B101" s="102"/>
      <c r="C101" s="87"/>
      <c r="D101" s="57" t="s">
        <v>38</v>
      </c>
      <c r="G101" s="68">
        <v>2030</v>
      </c>
      <c r="H101" s="174"/>
      <c r="J101" s="102"/>
    </row>
    <row r="102" spans="2:10" ht="5.25" customHeight="1" x14ac:dyDescent="0.3">
      <c r="B102" s="101"/>
      <c r="C102" s="85"/>
      <c r="D102" s="66"/>
      <c r="H102" s="174"/>
      <c r="J102" s="102"/>
    </row>
    <row r="103" spans="2:10" x14ac:dyDescent="0.3">
      <c r="B103" s="102"/>
      <c r="C103" s="87"/>
      <c r="D103" s="57" t="s">
        <v>39</v>
      </c>
      <c r="G103" s="68">
        <v>1</v>
      </c>
      <c r="H103" s="174"/>
      <c r="J103" s="102"/>
    </row>
    <row r="104" spans="2:10" ht="5.25" customHeight="1" x14ac:dyDescent="0.3">
      <c r="B104" s="101"/>
      <c r="C104" s="85"/>
      <c r="D104" s="66"/>
      <c r="H104" s="174"/>
      <c r="J104" s="102"/>
    </row>
    <row r="105" spans="2:10" s="147" customFormat="1" x14ac:dyDescent="0.3">
      <c r="B105" s="148"/>
      <c r="C105" s="149"/>
      <c r="D105" s="55" t="s">
        <v>40</v>
      </c>
      <c r="G105" s="152">
        <v>12</v>
      </c>
      <c r="H105" s="174">
        <v>20</v>
      </c>
      <c r="J105" s="148"/>
    </row>
    <row r="106" spans="2:10" x14ac:dyDescent="0.3">
      <c r="B106" s="102"/>
      <c r="C106" s="87"/>
      <c r="G106" s="64" t="str">
        <f>"out of "&amp;$G$20</f>
        <v>out of 104</v>
      </c>
      <c r="H106" s="174"/>
      <c r="J106" s="102"/>
    </row>
    <row r="107" spans="2:10" ht="5.25" customHeight="1" x14ac:dyDescent="0.3">
      <c r="B107" s="101"/>
      <c r="C107" s="87"/>
      <c r="H107" s="174"/>
      <c r="J107" s="102"/>
    </row>
    <row r="108" spans="2:10" x14ac:dyDescent="0.3">
      <c r="B108" s="102"/>
      <c r="C108" s="87"/>
      <c r="D108" s="111" t="s">
        <v>112</v>
      </c>
      <c r="H108" s="174"/>
      <c r="J108" s="102"/>
    </row>
    <row r="109" spans="2:10" ht="5.25" customHeight="1" x14ac:dyDescent="0.3">
      <c r="B109" s="101"/>
      <c r="C109" s="85"/>
      <c r="D109" s="66"/>
      <c r="H109" s="174"/>
      <c r="J109" s="102"/>
    </row>
    <row r="110" spans="2:10" x14ac:dyDescent="0.3">
      <c r="B110" s="102"/>
      <c r="C110" s="87"/>
      <c r="D110" s="57" t="s">
        <v>113</v>
      </c>
      <c r="G110" s="68">
        <v>2031</v>
      </c>
      <c r="H110" s="174"/>
      <c r="I110" s="147"/>
      <c r="J110" s="148"/>
    </row>
    <row r="111" spans="2:10" ht="5.25" customHeight="1" x14ac:dyDescent="0.3">
      <c r="B111" s="101"/>
      <c r="C111" s="85"/>
      <c r="D111" s="66"/>
      <c r="H111" s="174"/>
      <c r="J111" s="102"/>
    </row>
    <row r="112" spans="2:10" x14ac:dyDescent="0.3">
      <c r="B112" s="102"/>
      <c r="C112" s="87"/>
      <c r="D112" s="57" t="s">
        <v>114</v>
      </c>
      <c r="G112" s="68">
        <v>1</v>
      </c>
      <c r="H112" s="174"/>
      <c r="J112" s="102"/>
    </row>
    <row r="113" spans="2:10" ht="5.25" customHeight="1" x14ac:dyDescent="0.3">
      <c r="B113" s="101"/>
      <c r="C113" s="85"/>
      <c r="D113" s="66"/>
      <c r="H113" s="174"/>
      <c r="J113" s="102"/>
    </row>
    <row r="114" spans="2:10" x14ac:dyDescent="0.3">
      <c r="B114" s="148"/>
      <c r="C114" s="149"/>
      <c r="D114" s="55" t="s">
        <v>115</v>
      </c>
      <c r="E114" s="147"/>
      <c r="F114" s="147"/>
      <c r="G114" s="152">
        <v>12</v>
      </c>
      <c r="H114" s="174">
        <v>20</v>
      </c>
      <c r="J114" s="102"/>
    </row>
    <row r="115" spans="2:10" x14ac:dyDescent="0.3">
      <c r="B115" s="102"/>
      <c r="C115" s="87"/>
      <c r="D115" s="57"/>
      <c r="G115" s="119" t="str">
        <f>"out of "&amp;$G$20</f>
        <v>out of 104</v>
      </c>
      <c r="H115" s="174"/>
      <c r="I115" s="147"/>
      <c r="J115" s="148"/>
    </row>
    <row r="116" spans="2:10" x14ac:dyDescent="0.3">
      <c r="B116" s="102"/>
      <c r="C116" s="87"/>
      <c r="D116" s="111" t="s">
        <v>116</v>
      </c>
      <c r="H116" s="174"/>
      <c r="J116" s="102"/>
    </row>
    <row r="117" spans="2:10" x14ac:dyDescent="0.3">
      <c r="B117" s="102"/>
      <c r="C117" s="87"/>
      <c r="D117" s="57" t="s">
        <v>117</v>
      </c>
      <c r="G117" s="68">
        <v>2032</v>
      </c>
      <c r="H117" s="174"/>
      <c r="J117" s="102"/>
    </row>
    <row r="118" spans="2:10" ht="5.25" customHeight="1" x14ac:dyDescent="0.3">
      <c r="B118" s="101"/>
      <c r="C118" s="85"/>
      <c r="D118" s="66"/>
      <c r="H118" s="174"/>
      <c r="J118" s="102"/>
    </row>
    <row r="119" spans="2:10" x14ac:dyDescent="0.3">
      <c r="B119" s="102"/>
      <c r="C119" s="87"/>
      <c r="D119" s="57" t="s">
        <v>118</v>
      </c>
      <c r="G119" s="68">
        <v>1</v>
      </c>
      <c r="H119" s="174"/>
      <c r="I119" s="147"/>
      <c r="J119" s="148"/>
    </row>
    <row r="120" spans="2:10" ht="5.25" customHeight="1" x14ac:dyDescent="0.3">
      <c r="B120" s="101"/>
      <c r="C120" s="85"/>
      <c r="D120" s="66"/>
      <c r="H120" s="174"/>
      <c r="I120" s="147"/>
      <c r="J120" s="102"/>
    </row>
    <row r="121" spans="2:10" x14ac:dyDescent="0.3">
      <c r="B121" s="148"/>
      <c r="C121" s="149"/>
      <c r="D121" s="55" t="s">
        <v>119</v>
      </c>
      <c r="E121" s="147"/>
      <c r="F121" s="147"/>
      <c r="G121" s="68">
        <v>13</v>
      </c>
      <c r="H121" s="174">
        <v>20</v>
      </c>
      <c r="I121" s="147"/>
      <c r="J121" s="148"/>
    </row>
    <row r="122" spans="2:10" x14ac:dyDescent="0.3">
      <c r="B122" s="102"/>
      <c r="C122" s="87"/>
      <c r="D122" s="57"/>
      <c r="G122" s="119" t="str">
        <f>"out of "&amp;$G$20</f>
        <v>out of 104</v>
      </c>
      <c r="H122" s="86"/>
      <c r="I122" s="147"/>
      <c r="J122" s="102"/>
    </row>
    <row r="123" spans="2:10" x14ac:dyDescent="0.3">
      <c r="B123" s="102"/>
      <c r="C123" s="87"/>
      <c r="D123" s="111" t="s">
        <v>120</v>
      </c>
      <c r="H123" s="86"/>
      <c r="J123" s="148"/>
    </row>
    <row r="124" spans="2:10" x14ac:dyDescent="0.3">
      <c r="B124" s="102"/>
      <c r="C124" s="87"/>
      <c r="D124" s="57" t="s">
        <v>121</v>
      </c>
      <c r="G124" s="68">
        <v>2033</v>
      </c>
      <c r="H124" s="86"/>
      <c r="J124" s="102"/>
    </row>
    <row r="125" spans="2:10" ht="5.25" customHeight="1" x14ac:dyDescent="0.3">
      <c r="B125" s="101"/>
      <c r="C125" s="85"/>
      <c r="D125" s="66"/>
      <c r="H125" s="86"/>
      <c r="J125" s="148"/>
    </row>
    <row r="126" spans="2:10" x14ac:dyDescent="0.3">
      <c r="B126" s="102"/>
      <c r="C126" s="87"/>
      <c r="D126" s="57" t="s">
        <v>122</v>
      </c>
      <c r="G126" s="68">
        <v>1</v>
      </c>
      <c r="H126" s="86"/>
      <c r="I126" s="147"/>
      <c r="J126" s="102"/>
    </row>
    <row r="127" spans="2:10" ht="5.25" customHeight="1" x14ac:dyDescent="0.3">
      <c r="B127" s="101"/>
      <c r="C127" s="85"/>
      <c r="D127" s="66"/>
      <c r="H127" s="86"/>
      <c r="I127" s="147"/>
      <c r="J127" s="102"/>
    </row>
    <row r="128" spans="2:10" x14ac:dyDescent="0.3">
      <c r="B128" s="148"/>
      <c r="C128" s="149"/>
      <c r="D128" s="55" t="s">
        <v>123</v>
      </c>
      <c r="E128" s="147"/>
      <c r="F128" s="147"/>
      <c r="G128" s="68">
        <v>14</v>
      </c>
      <c r="H128" s="151"/>
      <c r="I128" s="147"/>
      <c r="J128" s="102"/>
    </row>
    <row r="129" spans="2:10" x14ac:dyDescent="0.3">
      <c r="B129" s="102"/>
      <c r="C129" s="87"/>
      <c r="D129" s="57"/>
      <c r="G129" s="119" t="str">
        <f>"out of "&amp;$G$20</f>
        <v>out of 104</v>
      </c>
      <c r="H129" s="86"/>
      <c r="I129" s="147"/>
      <c r="J129" s="102"/>
    </row>
    <row r="130" spans="2:10" x14ac:dyDescent="0.3">
      <c r="B130" s="102"/>
      <c r="C130" s="87"/>
      <c r="D130" s="111" t="s">
        <v>124</v>
      </c>
      <c r="H130" s="86"/>
      <c r="J130" s="102"/>
    </row>
    <row r="131" spans="2:10" x14ac:dyDescent="0.3">
      <c r="B131" s="102"/>
      <c r="C131" s="87"/>
      <c r="D131" s="57" t="s">
        <v>125</v>
      </c>
      <c r="G131" s="68">
        <v>2034</v>
      </c>
      <c r="H131" s="86"/>
      <c r="J131" s="102"/>
    </row>
    <row r="132" spans="2:10" ht="5.25" customHeight="1" x14ac:dyDescent="0.3">
      <c r="B132" s="101"/>
      <c r="C132" s="85"/>
      <c r="D132" s="66"/>
      <c r="H132" s="86"/>
      <c r="J132" s="102"/>
    </row>
    <row r="133" spans="2:10" x14ac:dyDescent="0.3">
      <c r="B133" s="102"/>
      <c r="C133" s="87"/>
      <c r="D133" s="57" t="s">
        <v>126</v>
      </c>
      <c r="G133" s="68">
        <v>1</v>
      </c>
      <c r="H133" s="86"/>
      <c r="I133" s="147"/>
      <c r="J133" s="102"/>
    </row>
    <row r="134" spans="2:10" ht="5.25" customHeight="1" x14ac:dyDescent="0.3">
      <c r="B134" s="101"/>
      <c r="C134" s="85"/>
      <c r="D134" s="66"/>
      <c r="H134" s="86"/>
      <c r="I134" s="147"/>
      <c r="J134" s="102"/>
    </row>
    <row r="135" spans="2:10" x14ac:dyDescent="0.3">
      <c r="B135" s="148"/>
      <c r="C135" s="149"/>
      <c r="D135" s="55" t="s">
        <v>127</v>
      </c>
      <c r="E135" s="147"/>
      <c r="F135" s="147"/>
      <c r="G135" s="68">
        <v>15</v>
      </c>
      <c r="H135" s="151"/>
      <c r="I135" s="147"/>
      <c r="J135" s="102"/>
    </row>
    <row r="136" spans="2:10" x14ac:dyDescent="0.3">
      <c r="B136" s="102"/>
      <c r="C136" s="87"/>
      <c r="D136" s="57"/>
      <c r="G136" s="119" t="str">
        <f>"out of "&amp;$G$20</f>
        <v>out of 104</v>
      </c>
      <c r="H136" s="86"/>
      <c r="I136" s="147"/>
      <c r="J136" s="102"/>
    </row>
    <row r="137" spans="2:10" x14ac:dyDescent="0.3">
      <c r="B137" s="102"/>
      <c r="C137" s="87"/>
      <c r="D137" s="111" t="s">
        <v>128</v>
      </c>
      <c r="H137" s="86"/>
      <c r="J137" s="102"/>
    </row>
    <row r="138" spans="2:10" x14ac:dyDescent="0.3">
      <c r="B138" s="102"/>
      <c r="C138" s="87"/>
      <c r="D138" s="57" t="s">
        <v>129</v>
      </c>
      <c r="G138" s="68">
        <v>2035</v>
      </c>
      <c r="H138" s="86"/>
      <c r="J138" s="102"/>
    </row>
    <row r="139" spans="2:10" ht="5.25" customHeight="1" x14ac:dyDescent="0.3">
      <c r="B139" s="101"/>
      <c r="C139" s="85"/>
      <c r="D139" s="66"/>
      <c r="H139" s="86"/>
      <c r="J139" s="102"/>
    </row>
    <row r="140" spans="2:10" x14ac:dyDescent="0.3">
      <c r="B140" s="102"/>
      <c r="C140" s="87"/>
      <c r="D140" s="57" t="s">
        <v>130</v>
      </c>
      <c r="G140" s="68">
        <v>1</v>
      </c>
      <c r="H140" s="86"/>
      <c r="I140" s="147"/>
      <c r="J140" s="102"/>
    </row>
    <row r="141" spans="2:10" ht="5.25" customHeight="1" x14ac:dyDescent="0.3">
      <c r="B141" s="101"/>
      <c r="C141" s="85"/>
      <c r="D141" s="66"/>
      <c r="H141" s="86"/>
      <c r="I141" s="147"/>
      <c r="J141" s="102"/>
    </row>
    <row r="142" spans="2:10" x14ac:dyDescent="0.3">
      <c r="B142" s="148"/>
      <c r="C142" s="149"/>
      <c r="D142" s="55" t="s">
        <v>131</v>
      </c>
      <c r="E142" s="147"/>
      <c r="F142" s="147"/>
      <c r="G142" s="68">
        <v>15</v>
      </c>
      <c r="H142" s="151"/>
      <c r="I142" s="147"/>
      <c r="J142" s="102"/>
    </row>
    <row r="143" spans="2:10" x14ac:dyDescent="0.3">
      <c r="B143" s="102"/>
      <c r="C143" s="87"/>
      <c r="D143" s="57"/>
      <c r="G143" s="119" t="str">
        <f>"out of "&amp;$G$20</f>
        <v>out of 104</v>
      </c>
      <c r="H143" s="86"/>
      <c r="I143" s="147"/>
      <c r="J143" s="102"/>
    </row>
    <row r="144" spans="2:10" hidden="1" x14ac:dyDescent="0.3">
      <c r="J144" s="102"/>
    </row>
    <row r="145" spans="2:10" x14ac:dyDescent="0.3">
      <c r="B145" s="102"/>
      <c r="C145" s="87"/>
      <c r="D145" s="111" t="s">
        <v>132</v>
      </c>
      <c r="H145" s="86"/>
      <c r="J145" s="102"/>
    </row>
    <row r="146" spans="2:10" x14ac:dyDescent="0.3">
      <c r="B146" s="102"/>
      <c r="C146" s="87"/>
      <c r="D146" s="57" t="s">
        <v>133</v>
      </c>
      <c r="G146" s="68">
        <v>2036</v>
      </c>
      <c r="H146" s="86"/>
      <c r="J146" s="102"/>
    </row>
    <row r="147" spans="2:10" ht="5.25" customHeight="1" x14ac:dyDescent="0.3">
      <c r="B147" s="101"/>
      <c r="C147" s="85"/>
      <c r="D147" s="66"/>
      <c r="H147" s="86"/>
      <c r="J147" s="102"/>
    </row>
    <row r="148" spans="2:10" x14ac:dyDescent="0.3">
      <c r="B148" s="102"/>
      <c r="C148" s="87"/>
      <c r="D148" s="57" t="s">
        <v>134</v>
      </c>
      <c r="G148" s="68"/>
      <c r="H148" s="86"/>
      <c r="I148" s="147"/>
      <c r="J148" s="102"/>
    </row>
    <row r="149" spans="2:10" ht="5.25" customHeight="1" x14ac:dyDescent="0.3">
      <c r="B149" s="101"/>
      <c r="C149" s="85"/>
      <c r="D149" s="66"/>
      <c r="H149" s="86"/>
      <c r="I149" s="147"/>
      <c r="J149" s="102"/>
    </row>
    <row r="150" spans="2:10" x14ac:dyDescent="0.3">
      <c r="B150" s="148"/>
      <c r="C150" s="149"/>
      <c r="D150" s="55" t="s">
        <v>135</v>
      </c>
      <c r="E150" s="147"/>
      <c r="F150" s="147"/>
      <c r="G150" s="150"/>
      <c r="H150" s="151"/>
      <c r="I150" s="147"/>
      <c r="J150" s="102"/>
    </row>
    <row r="151" spans="2:10" x14ac:dyDescent="0.3">
      <c r="B151" s="102"/>
      <c r="C151" s="87"/>
      <c r="D151" s="57"/>
      <c r="G151" s="119" t="str">
        <f>"out of "&amp;$G$20</f>
        <v>out of 104</v>
      </c>
      <c r="H151" s="86"/>
      <c r="I151" s="147"/>
      <c r="J151" s="102"/>
    </row>
    <row r="152" spans="2:10" x14ac:dyDescent="0.3">
      <c r="B152" s="102"/>
      <c r="C152" s="87"/>
      <c r="D152" s="111" t="s">
        <v>136</v>
      </c>
      <c r="H152" s="86"/>
      <c r="J152" s="102"/>
    </row>
    <row r="153" spans="2:10" x14ac:dyDescent="0.3">
      <c r="B153" s="102"/>
      <c r="C153" s="87"/>
      <c r="D153" s="57" t="s">
        <v>137</v>
      </c>
      <c r="G153" s="68">
        <v>2037</v>
      </c>
      <c r="H153" s="86"/>
      <c r="J153" s="102"/>
    </row>
    <row r="154" spans="2:10" ht="5.25" customHeight="1" x14ac:dyDescent="0.3">
      <c r="B154" s="101"/>
      <c r="C154" s="85"/>
      <c r="D154" s="66"/>
      <c r="H154" s="86"/>
      <c r="J154" s="102"/>
    </row>
    <row r="155" spans="2:10" x14ac:dyDescent="0.3">
      <c r="B155" s="102"/>
      <c r="C155" s="87"/>
      <c r="D155" s="57" t="s">
        <v>138</v>
      </c>
      <c r="G155" s="68"/>
      <c r="H155" s="86"/>
      <c r="I155" s="147"/>
      <c r="J155" s="102"/>
    </row>
    <row r="156" spans="2:10" ht="5.25" customHeight="1" x14ac:dyDescent="0.3">
      <c r="B156" s="101"/>
      <c r="C156" s="85"/>
      <c r="D156" s="66"/>
      <c r="H156" s="86"/>
      <c r="I156" s="147"/>
      <c r="J156" s="102"/>
    </row>
    <row r="157" spans="2:10" x14ac:dyDescent="0.3">
      <c r="B157" s="148"/>
      <c r="C157" s="149"/>
      <c r="D157" s="55" t="s">
        <v>139</v>
      </c>
      <c r="E157" s="147"/>
      <c r="F157" s="147"/>
      <c r="G157" s="150"/>
      <c r="H157" s="151"/>
      <c r="I157" s="147"/>
      <c r="J157" s="102"/>
    </row>
    <row r="158" spans="2:10" x14ac:dyDescent="0.3">
      <c r="B158" s="102"/>
      <c r="C158" s="87"/>
      <c r="D158" s="57"/>
      <c r="G158" s="119" t="str">
        <f>"out of "&amp;$G$20</f>
        <v>out of 104</v>
      </c>
      <c r="H158" s="86"/>
      <c r="I158" s="147"/>
      <c r="J158" s="102"/>
    </row>
    <row r="159" spans="2:10" ht="15" thickBot="1" x14ac:dyDescent="0.35">
      <c r="B159" s="101"/>
      <c r="C159" s="88"/>
      <c r="D159" s="89"/>
      <c r="E159" s="90"/>
      <c r="F159" s="90"/>
      <c r="G159" s="91"/>
      <c r="H159" s="92"/>
      <c r="J159" s="102"/>
    </row>
    <row r="160" spans="2:10" ht="15" thickBot="1" x14ac:dyDescent="0.35">
      <c r="B160" s="103"/>
      <c r="C160" s="104"/>
      <c r="D160" s="104"/>
      <c r="E160" s="104"/>
      <c r="F160" s="104"/>
      <c r="G160" s="105"/>
      <c r="H160" s="104"/>
      <c r="I160" s="104"/>
      <c r="J160" s="102"/>
    </row>
    <row r="161" ht="15" thickTop="1" x14ac:dyDescent="0.3"/>
    <row r="162" x14ac:dyDescent="0.3"/>
    <row r="163" x14ac:dyDescent="0.3"/>
    <row r="164" x14ac:dyDescent="0.3"/>
    <row r="165" x14ac:dyDescent="0.3"/>
    <row r="166" x14ac:dyDescent="0.3"/>
    <row r="167" x14ac:dyDescent="0.3"/>
    <row r="168" x14ac:dyDescent="0.3"/>
    <row r="169" x14ac:dyDescent="0.3"/>
    <row r="170" x14ac:dyDescent="0.3"/>
    <row r="171" x14ac:dyDescent="0.3"/>
    <row r="172" x14ac:dyDescent="0.3"/>
    <row r="173" x14ac:dyDescent="0.3"/>
    <row r="174" x14ac:dyDescent="0.3"/>
    <row r="175" x14ac:dyDescent="0.3"/>
    <row r="176" x14ac:dyDescent="0.3"/>
    <row r="177" x14ac:dyDescent="0.3"/>
    <row r="178" x14ac:dyDescent="0.3"/>
    <row r="179" x14ac:dyDescent="0.3"/>
    <row r="180" x14ac:dyDescent="0.3"/>
    <row r="181" x14ac:dyDescent="0.3"/>
    <row r="182" x14ac:dyDescent="0.3"/>
    <row r="183" x14ac:dyDescent="0.3"/>
    <row r="184" x14ac:dyDescent="0.3"/>
    <row r="185" x14ac:dyDescent="0.3"/>
    <row r="186" x14ac:dyDescent="0.3"/>
    <row r="187" x14ac:dyDescent="0.3"/>
    <row r="188" x14ac:dyDescent="0.3"/>
    <row r="189" x14ac:dyDescent="0.3"/>
    <row r="190" x14ac:dyDescent="0.3"/>
    <row r="191" x14ac:dyDescent="0.3"/>
    <row r="192" x14ac:dyDescent="0.3"/>
    <row r="193" x14ac:dyDescent="0.3"/>
    <row r="194" x14ac:dyDescent="0.3"/>
    <row r="195" x14ac:dyDescent="0.3"/>
    <row r="196" x14ac:dyDescent="0.3"/>
    <row r="197" x14ac:dyDescent="0.3"/>
    <row r="198" x14ac:dyDescent="0.3"/>
    <row r="199" x14ac:dyDescent="0.3"/>
    <row r="200" x14ac:dyDescent="0.3"/>
    <row r="201" x14ac:dyDescent="0.3"/>
    <row r="202" x14ac:dyDescent="0.3"/>
    <row r="203" x14ac:dyDescent="0.3"/>
    <row r="204" x14ac:dyDescent="0.3"/>
  </sheetData>
  <mergeCells count="7">
    <mergeCell ref="C60:G61"/>
    <mergeCell ref="C2:H2"/>
    <mergeCell ref="C32:G34"/>
    <mergeCell ref="C4:G5"/>
    <mergeCell ref="C45:G46"/>
    <mergeCell ref="F11:G11"/>
    <mergeCell ref="F9:G9"/>
  </mergeCells>
  <conditionalFormatting sqref="K18:M18">
    <cfRule type="cellIs" dxfId="9" priority="5" operator="equal">
      <formula>"No"</formula>
    </cfRule>
    <cfRule type="cellIs" dxfId="8" priority="6" operator="equal">
      <formula>"Yes"</formula>
    </cfRule>
  </conditionalFormatting>
  <conditionalFormatting sqref="K20:M20 K24:M25 K28:M28">
    <cfRule type="cellIs" dxfId="7" priority="19" operator="equal">
      <formula>"No"</formula>
    </cfRule>
    <cfRule type="cellIs" dxfId="6" priority="20" operator="equal">
      <formula>"Yes"</formula>
    </cfRule>
  </conditionalFormatting>
  <conditionalFormatting sqref="K22:M22">
    <cfRule type="cellIs" dxfId="5" priority="1" operator="equal">
      <formula>"No"</formula>
    </cfRule>
    <cfRule type="cellIs" dxfId="4" priority="2" operator="equal">
      <formula>"Yes"</formula>
    </cfRule>
  </conditionalFormatting>
  <conditionalFormatting sqref="K31:M34">
    <cfRule type="cellIs" dxfId="3" priority="11" operator="equal">
      <formula>"No"</formula>
    </cfRule>
    <cfRule type="cellIs" dxfId="2" priority="12" operator="equal">
      <formula>"Yes"</formula>
    </cfRule>
  </conditionalFormatting>
  <conditionalFormatting sqref="K41:M41">
    <cfRule type="cellIs" dxfId="1" priority="7" operator="equal">
      <formula>"No"</formula>
    </cfRule>
    <cfRule type="cellIs" dxfId="0" priority="8" operator="equal">
      <formula>"Yes"</formula>
    </cfRule>
  </conditionalFormatting>
  <dataValidations disablePrompts="1" count="1">
    <dataValidation type="list" allowBlank="1" showInputMessage="1" showErrorMessage="1" sqref="F11" xr:uid="{CD6887DF-F290-431C-95DC-895A13DD7B28}">
      <formula1>#REF!</formula1>
    </dataValidation>
  </dataValidations>
  <pageMargins left="0.7" right="0.7" top="0.75" bottom="0.75" header="0.3" footer="0.3"/>
  <pageSetup scale="5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4">
    <tabColor theme="3"/>
  </sheetPr>
  <dimension ref="A1:H94"/>
  <sheetViews>
    <sheetView topLeftCell="A45" zoomScale="115" zoomScaleNormal="115" workbookViewId="0">
      <selection activeCell="C13" sqref="C13"/>
    </sheetView>
  </sheetViews>
  <sheetFormatPr defaultColWidth="0" defaultRowHeight="14.4" zeroHeight="1" x14ac:dyDescent="0.3"/>
  <cols>
    <col min="1" max="1" width="1.44140625" customWidth="1"/>
    <col min="2" max="2" width="29.44140625" style="2" customWidth="1"/>
    <col min="3" max="3" width="42.5546875" style="2" customWidth="1"/>
    <col min="4" max="4" width="22.5546875" style="2" customWidth="1"/>
    <col min="5" max="5" width="11" style="2" customWidth="1"/>
    <col min="6" max="6" width="15.5546875" style="2" customWidth="1"/>
    <col min="7" max="8" width="9.44140625" style="2" customWidth="1"/>
    <col min="9" max="16384" width="9.44140625" style="2" hidden="1"/>
  </cols>
  <sheetData>
    <row r="1" spans="1:6" ht="5.25" customHeight="1" x14ac:dyDescent="0.3">
      <c r="A1" s="2"/>
      <c r="E1" s="4"/>
    </row>
    <row r="2" spans="1:6" s="55" customFormat="1" ht="18" x14ac:dyDescent="0.35">
      <c r="B2" s="65" t="s">
        <v>140</v>
      </c>
      <c r="F2" s="64"/>
    </row>
    <row r="3" spans="1:6" ht="5.25" customHeight="1" x14ac:dyDescent="0.3">
      <c r="A3" s="2"/>
      <c r="E3" s="4"/>
    </row>
    <row r="4" spans="1:6" x14ac:dyDescent="0.3">
      <c r="A4" s="2"/>
      <c r="C4" s="22" t="s">
        <v>141</v>
      </c>
      <c r="D4" s="1" t="s">
        <v>142</v>
      </c>
      <c r="E4" s="1" t="s">
        <v>143</v>
      </c>
    </row>
    <row r="5" spans="1:6" ht="5.25" customHeight="1" x14ac:dyDescent="0.3">
      <c r="A5" s="2"/>
      <c r="C5" s="4"/>
    </row>
    <row r="6" spans="1:6" x14ac:dyDescent="0.3">
      <c r="A6" s="2"/>
      <c r="B6" s="1" t="s">
        <v>144</v>
      </c>
      <c r="C6" s="23"/>
    </row>
    <row r="7" spans="1:6" ht="5.25" customHeight="1" x14ac:dyDescent="0.3">
      <c r="A7" s="2"/>
      <c r="B7" s="1"/>
      <c r="C7" s="23"/>
    </row>
    <row r="8" spans="1:6" x14ac:dyDescent="0.3">
      <c r="A8" s="2"/>
      <c r="C8" s="4" t="s">
        <v>59</v>
      </c>
      <c r="D8" s="22">
        <v>3.2418167491059502</v>
      </c>
      <c r="E8" s="4" t="s">
        <v>167</v>
      </c>
    </row>
    <row r="9" spans="1:6" ht="5.25" customHeight="1" x14ac:dyDescent="0.3">
      <c r="A9" s="2"/>
      <c r="C9" s="4"/>
      <c r="F9" s="24"/>
    </row>
    <row r="10" spans="1:6" x14ac:dyDescent="0.3">
      <c r="A10" s="2"/>
      <c r="B10" s="17" t="s">
        <v>145</v>
      </c>
      <c r="C10" s="25"/>
      <c r="D10" s="5"/>
      <c r="E10" s="5"/>
      <c r="F10" s="24"/>
    </row>
    <row r="11" spans="1:6" ht="5.25" customHeight="1" x14ac:dyDescent="0.3">
      <c r="A11" s="2"/>
      <c r="B11" s="17"/>
      <c r="C11" s="25"/>
      <c r="D11" s="5"/>
      <c r="E11" s="5"/>
      <c r="F11" s="24"/>
    </row>
    <row r="12" spans="1:6" x14ac:dyDescent="0.3">
      <c r="A12" s="2"/>
      <c r="B12" s="26"/>
      <c r="C12" s="4" t="s">
        <v>146</v>
      </c>
      <c r="D12" s="49">
        <v>113697520.74732487</v>
      </c>
      <c r="E12" s="4" t="s">
        <v>235</v>
      </c>
      <c r="F12" s="24"/>
    </row>
    <row r="13" spans="1:6" ht="5.25" customHeight="1" x14ac:dyDescent="0.3">
      <c r="A13" s="2"/>
      <c r="C13" s="4"/>
      <c r="F13" s="24"/>
    </row>
    <row r="14" spans="1:6" x14ac:dyDescent="0.3">
      <c r="A14" s="2"/>
      <c r="B14" s="1" t="s">
        <v>147</v>
      </c>
      <c r="C14" s="4"/>
      <c r="F14" s="24"/>
    </row>
    <row r="15" spans="1:6" ht="5.25" customHeight="1" x14ac:dyDescent="0.3">
      <c r="A15" s="2"/>
      <c r="B15" s="1"/>
      <c r="C15" s="4"/>
      <c r="F15" s="24"/>
    </row>
    <row r="16" spans="1:6" x14ac:dyDescent="0.3">
      <c r="A16" s="2"/>
      <c r="B16" s="1"/>
      <c r="C16" s="27" t="s">
        <v>49</v>
      </c>
      <c r="D16" s="27">
        <v>24</v>
      </c>
      <c r="E16" s="27" t="s">
        <v>148</v>
      </c>
      <c r="F16" s="24"/>
    </row>
    <row r="17" spans="1:6" ht="5.25" customHeight="1" x14ac:dyDescent="0.3">
      <c r="A17" s="2"/>
      <c r="B17" s="1"/>
      <c r="C17" s="4"/>
      <c r="F17" s="24"/>
    </row>
    <row r="18" spans="1:6" x14ac:dyDescent="0.3">
      <c r="A18" s="2"/>
      <c r="B18" s="1"/>
      <c r="C18" s="54" t="s">
        <v>61</v>
      </c>
      <c r="D18" s="163">
        <v>9235143.3311453182</v>
      </c>
      <c r="E18" s="164" t="s">
        <v>179</v>
      </c>
      <c r="F18" s="24"/>
    </row>
    <row r="19" spans="1:6" x14ac:dyDescent="0.3">
      <c r="A19" s="2"/>
      <c r="B19" s="1"/>
      <c r="C19" s="54" t="s">
        <v>174</v>
      </c>
      <c r="D19" s="163">
        <v>9493954.7225537002</v>
      </c>
      <c r="E19" s="164" t="s">
        <v>179</v>
      </c>
      <c r="F19" s="24"/>
    </row>
    <row r="20" spans="1:6" x14ac:dyDescent="0.3">
      <c r="A20" s="2"/>
      <c r="B20" s="1"/>
      <c r="C20" s="54" t="s">
        <v>60</v>
      </c>
      <c r="D20" s="163">
        <v>540545.7222472782</v>
      </c>
      <c r="E20" s="164" t="s">
        <v>179</v>
      </c>
      <c r="F20" s="131">
        <v>0.11720181556070543</v>
      </c>
    </row>
    <row r="21" spans="1:6" x14ac:dyDescent="0.3">
      <c r="A21" s="2"/>
      <c r="B21" s="1"/>
      <c r="C21" s="54" t="s">
        <v>63</v>
      </c>
      <c r="D21" s="163">
        <v>136617779.02212283</v>
      </c>
      <c r="E21" s="164" t="s">
        <v>179</v>
      </c>
      <c r="F21" s="131">
        <v>0.83093657181411706</v>
      </c>
    </row>
    <row r="22" spans="1:6" x14ac:dyDescent="0.3">
      <c r="A22" s="2"/>
      <c r="B22" s="1"/>
      <c r="C22" s="54" t="s">
        <v>62</v>
      </c>
      <c r="D22" s="163">
        <v>3741888.5741062108</v>
      </c>
      <c r="E22" s="164" t="s">
        <v>179</v>
      </c>
      <c r="F22" s="131">
        <v>2.2758912391444588E-2</v>
      </c>
    </row>
    <row r="23" spans="1:6" x14ac:dyDescent="0.3">
      <c r="A23" s="2"/>
      <c r="B23" s="1"/>
      <c r="C23" s="54" t="s">
        <v>67</v>
      </c>
      <c r="D23" s="163">
        <v>2181374.0130883125</v>
      </c>
      <c r="E23" s="164" t="s">
        <v>179</v>
      </c>
      <c r="F23" s="131">
        <v>1.3267551685103076E-2</v>
      </c>
    </row>
    <row r="24" spans="1:6" x14ac:dyDescent="0.3">
      <c r="A24" s="2"/>
      <c r="B24" s="1"/>
      <c r="C24" s="54" t="s">
        <v>176</v>
      </c>
      <c r="D24" s="163">
        <v>2603523.4199357638</v>
      </c>
      <c r="E24" s="164" t="s">
        <v>179</v>
      </c>
      <c r="F24" s="131">
        <v>1.583514854862976E-2</v>
      </c>
    </row>
    <row r="25" spans="1:6" x14ac:dyDescent="0.3">
      <c r="A25" s="2"/>
      <c r="B25" s="1"/>
      <c r="C25" s="54" t="s">
        <v>177</v>
      </c>
      <c r="D25" s="163">
        <v>404724.82342740759</v>
      </c>
      <c r="E25" s="164" t="s">
        <v>179</v>
      </c>
      <c r="F25" s="131">
        <v>2.4616170729315251E-3</v>
      </c>
    </row>
    <row r="26" spans="1:6" x14ac:dyDescent="0.3">
      <c r="A26" s="2"/>
      <c r="B26" s="1"/>
      <c r="C26" s="4"/>
      <c r="F26" s="24"/>
    </row>
    <row r="27" spans="1:6" x14ac:dyDescent="0.3">
      <c r="A27" s="2"/>
      <c r="C27" s="22" t="s">
        <v>222</v>
      </c>
      <c r="D27" s="128">
        <v>164414208.80519941</v>
      </c>
      <c r="E27" s="22" t="s">
        <v>236</v>
      </c>
      <c r="F27" s="156"/>
    </row>
    <row r="28" spans="1:6" x14ac:dyDescent="0.3">
      <c r="A28" s="2"/>
      <c r="B28" s="4"/>
      <c r="C28" s="4"/>
      <c r="D28" s="51"/>
      <c r="E28" s="15"/>
      <c r="F28" s="4"/>
    </row>
    <row r="29" spans="1:6" x14ac:dyDescent="0.3">
      <c r="A29" s="2"/>
      <c r="B29" s="25"/>
      <c r="C29" s="4" t="s">
        <v>149</v>
      </c>
      <c r="D29" s="52">
        <v>6850592.0335499756</v>
      </c>
      <c r="E29" s="4" t="s">
        <v>236</v>
      </c>
      <c r="F29" s="4"/>
    </row>
    <row r="30" spans="1:6" x14ac:dyDescent="0.3">
      <c r="A30" s="2"/>
      <c r="B30" s="4"/>
      <c r="C30" s="4"/>
      <c r="D30" s="28"/>
      <c r="E30" s="25"/>
      <c r="F30" s="4"/>
    </row>
    <row r="31" spans="1:6" x14ac:dyDescent="0.3">
      <c r="A31" s="2"/>
      <c r="B31" s="22" t="s">
        <v>150</v>
      </c>
      <c r="C31" s="4"/>
      <c r="D31" s="50"/>
      <c r="E31" s="25"/>
      <c r="F31" s="131"/>
    </row>
    <row r="32" spans="1:6" x14ac:dyDescent="0.3">
      <c r="A32" s="2"/>
      <c r="B32" s="22"/>
      <c r="C32" s="4"/>
      <c r="D32" s="28"/>
      <c r="E32" s="25"/>
    </row>
    <row r="33" spans="1:6" x14ac:dyDescent="0.3">
      <c r="A33" s="2"/>
      <c r="B33" s="4"/>
      <c r="C33" s="27" t="s">
        <v>49</v>
      </c>
      <c r="D33" s="27">
        <v>24</v>
      </c>
      <c r="E33" s="27" t="s">
        <v>148</v>
      </c>
      <c r="F33" s="4"/>
    </row>
    <row r="34" spans="1:6" x14ac:dyDescent="0.3">
      <c r="A34" s="2"/>
      <c r="B34" s="4"/>
      <c r="C34" s="144"/>
      <c r="D34" s="145"/>
      <c r="E34" s="144"/>
      <c r="F34" s="4"/>
    </row>
    <row r="35" spans="1:6" x14ac:dyDescent="0.3">
      <c r="A35" s="2"/>
      <c r="B35" s="4"/>
      <c r="C35" s="144" t="s">
        <v>65</v>
      </c>
      <c r="D35" s="146">
        <v>22319871.604612954</v>
      </c>
      <c r="E35" s="144" t="s">
        <v>228</v>
      </c>
      <c r="F35" s="4"/>
    </row>
    <row r="36" spans="1:6" x14ac:dyDescent="0.3">
      <c r="A36" s="2"/>
      <c r="B36" s="4"/>
      <c r="C36" s="144" t="s">
        <v>66</v>
      </c>
      <c r="D36" s="146">
        <v>28396816.453261591</v>
      </c>
      <c r="E36" s="144" t="s">
        <v>228</v>
      </c>
      <c r="F36" s="4"/>
    </row>
    <row r="37" spans="1:6" x14ac:dyDescent="0.3">
      <c r="A37" s="2"/>
      <c r="B37" s="4"/>
      <c r="C37" s="4"/>
      <c r="D37" s="50"/>
      <c r="E37" s="25"/>
      <c r="F37" s="4"/>
    </row>
    <row r="38" spans="1:6" x14ac:dyDescent="0.3">
      <c r="A38" s="2"/>
      <c r="B38" s="4"/>
      <c r="C38" s="4" t="s">
        <v>224</v>
      </c>
      <c r="D38" s="49">
        <v>50716688.057874545</v>
      </c>
      <c r="E38" s="4" t="s">
        <v>236</v>
      </c>
      <c r="F38" s="4"/>
    </row>
    <row r="39" spans="1:6" x14ac:dyDescent="0.3">
      <c r="A39" s="2"/>
      <c r="B39" s="4"/>
      <c r="C39" s="4"/>
      <c r="D39" s="50"/>
      <c r="E39" s="25"/>
      <c r="F39" s="4"/>
    </row>
    <row r="40" spans="1:6" x14ac:dyDescent="0.3">
      <c r="A40" s="2"/>
      <c r="B40" s="4"/>
      <c r="C40" s="4" t="s">
        <v>151</v>
      </c>
      <c r="D40" s="50">
        <v>2113195.3357447726</v>
      </c>
      <c r="E40" s="4" t="s">
        <v>236</v>
      </c>
      <c r="F40" s="4"/>
    </row>
    <row r="41" spans="1:6" x14ac:dyDescent="0.3">
      <c r="A41" s="2"/>
      <c r="B41" s="4"/>
      <c r="C41" s="4"/>
      <c r="D41" s="50"/>
      <c r="E41" s="25"/>
      <c r="F41" s="4"/>
    </row>
    <row r="42" spans="1:6" x14ac:dyDescent="0.3">
      <c r="A42" s="2"/>
      <c r="B42" s="22" t="s">
        <v>152</v>
      </c>
      <c r="C42" s="4"/>
      <c r="D42" s="4"/>
      <c r="E42" s="4"/>
    </row>
    <row r="43" spans="1:6" x14ac:dyDescent="0.3">
      <c r="A43" s="2"/>
      <c r="C43" s="4"/>
      <c r="F43" s="24"/>
    </row>
    <row r="44" spans="1:6" x14ac:dyDescent="0.3">
      <c r="A44" s="2"/>
      <c r="C44" s="4"/>
      <c r="D44" s="49"/>
      <c r="E44" s="4"/>
    </row>
    <row r="45" spans="1:6" x14ac:dyDescent="0.3">
      <c r="A45" s="2"/>
      <c r="C45" s="4"/>
      <c r="D45" s="49"/>
      <c r="E45" s="4"/>
    </row>
    <row r="46" spans="1:6" x14ac:dyDescent="0.3">
      <c r="A46" s="2"/>
      <c r="C46" s="4"/>
    </row>
    <row r="47" spans="1:6" x14ac:dyDescent="0.3">
      <c r="A47" s="2"/>
      <c r="C47" s="4"/>
      <c r="D47" s="49"/>
      <c r="E47" s="4"/>
    </row>
    <row r="48" spans="1:6" s="1" customFormat="1" x14ac:dyDescent="0.3">
      <c r="D48" s="22"/>
    </row>
    <row r="49" spans="1:7" x14ac:dyDescent="0.3">
      <c r="A49" s="2"/>
      <c r="D49" s="49"/>
    </row>
    <row r="50" spans="1:7" x14ac:dyDescent="0.3">
      <c r="A50" s="2"/>
      <c r="C50" s="4"/>
      <c r="D50" s="49"/>
      <c r="E50" s="4"/>
    </row>
    <row r="51" spans="1:7" x14ac:dyDescent="0.3">
      <c r="A51" s="2"/>
      <c r="C51" s="4"/>
      <c r="D51" s="49"/>
      <c r="E51" s="4"/>
    </row>
    <row r="52" spans="1:7" x14ac:dyDescent="0.3">
      <c r="A52" s="2"/>
      <c r="C52" s="4"/>
      <c r="D52" s="26"/>
      <c r="E52" s="4"/>
    </row>
    <row r="53" spans="1:7" x14ac:dyDescent="0.3">
      <c r="A53" s="2"/>
      <c r="C53" s="4"/>
      <c r="D53" s="49"/>
      <c r="E53" s="4"/>
    </row>
    <row r="54" spans="1:7" s="1" customFormat="1" x14ac:dyDescent="0.3">
      <c r="C54" s="22"/>
      <c r="D54" s="22"/>
      <c r="E54" s="22"/>
    </row>
    <row r="55" spans="1:7" x14ac:dyDescent="0.3">
      <c r="A55" s="2"/>
      <c r="E55" s="4"/>
      <c r="F55" s="4"/>
      <c r="G55" s="4"/>
    </row>
    <row r="56" spans="1:7" x14ac:dyDescent="0.3">
      <c r="A56" s="2"/>
      <c r="B56" s="44" t="s">
        <v>153</v>
      </c>
      <c r="C56" s="44"/>
      <c r="D56" s="44"/>
      <c r="E56" s="4"/>
      <c r="F56" s="4"/>
      <c r="G56" s="4"/>
    </row>
    <row r="57" spans="1:7" x14ac:dyDescent="0.3">
      <c r="A57" s="130"/>
      <c r="B57" s="160" t="s">
        <v>154</v>
      </c>
      <c r="C57" s="160" t="s">
        <v>155</v>
      </c>
      <c r="D57" s="160" t="s">
        <v>156</v>
      </c>
      <c r="E57" s="157"/>
      <c r="F57" s="4"/>
      <c r="G57" s="4"/>
    </row>
    <row r="58" spans="1:7" x14ac:dyDescent="0.3">
      <c r="A58" s="130"/>
      <c r="B58" s="159" t="s">
        <v>55</v>
      </c>
      <c r="C58" s="161">
        <v>242.91093314797843</v>
      </c>
      <c r="D58" s="161">
        <v>164.81893362862678</v>
      </c>
      <c r="E58" s="157"/>
      <c r="F58" s="4"/>
      <c r="G58" s="4"/>
    </row>
    <row r="59" spans="1:7" ht="43.2" x14ac:dyDescent="0.3">
      <c r="A59" s="130"/>
      <c r="B59" s="162" t="s">
        <v>157</v>
      </c>
      <c r="C59" s="158">
        <v>28.520473731297326</v>
      </c>
      <c r="D59" s="158">
        <v>19.269643775946292</v>
      </c>
      <c r="E59" s="157"/>
      <c r="F59" s="4"/>
      <c r="G59" s="4"/>
    </row>
    <row r="60" spans="1:7" x14ac:dyDescent="0.3">
      <c r="A60" s="130"/>
      <c r="B60" s="162" t="s">
        <v>63</v>
      </c>
      <c r="C60" s="158">
        <v>202.69739335315631</v>
      </c>
      <c r="D60" s="158">
        <v>136.61777902212279</v>
      </c>
      <c r="E60" s="157"/>
      <c r="F60" s="4"/>
      <c r="G60" s="4"/>
    </row>
    <row r="61" spans="1:7" ht="28.8" x14ac:dyDescent="0.3">
      <c r="A61" s="130"/>
      <c r="B61" s="162" t="s">
        <v>62</v>
      </c>
      <c r="C61" s="158">
        <v>5.0732144700674597</v>
      </c>
      <c r="D61" s="158">
        <v>3.7418885741062109</v>
      </c>
      <c r="E61" s="157"/>
      <c r="F61" s="4"/>
      <c r="G61" s="4"/>
    </row>
    <row r="62" spans="1:7" x14ac:dyDescent="0.3">
      <c r="A62" s="130"/>
      <c r="B62" s="162" t="s">
        <v>67</v>
      </c>
      <c r="C62" s="158">
        <v>2.7448115934573107</v>
      </c>
      <c r="D62" s="158">
        <v>2.1813740130883126</v>
      </c>
      <c r="E62" s="155"/>
    </row>
    <row r="63" spans="1:7" x14ac:dyDescent="0.3">
      <c r="A63" s="130"/>
      <c r="B63" s="162" t="s">
        <v>176</v>
      </c>
      <c r="C63" s="158">
        <v>3.2759999999999998</v>
      </c>
      <c r="D63" s="158">
        <v>2.603523419935764</v>
      </c>
      <c r="E63" s="155"/>
    </row>
    <row r="64" spans="1:7" x14ac:dyDescent="0.3">
      <c r="A64" s="130"/>
      <c r="B64" s="162" t="s">
        <v>177</v>
      </c>
      <c r="C64" s="158">
        <v>0.59904000000000002</v>
      </c>
      <c r="D64" s="158">
        <v>0.40472482342740762</v>
      </c>
      <c r="E64" s="155"/>
    </row>
    <row r="65" spans="1:4" x14ac:dyDescent="0.3">
      <c r="A65" s="2"/>
      <c r="B65" s="159" t="s">
        <v>57</v>
      </c>
      <c r="C65" s="161">
        <v>69.25473777322135</v>
      </c>
      <c r="D65" s="161">
        <v>50.716688057874542</v>
      </c>
    </row>
    <row r="66" spans="1:4" x14ac:dyDescent="0.3">
      <c r="A66" s="2"/>
      <c r="B66" s="159" t="s">
        <v>58</v>
      </c>
      <c r="C66" s="161">
        <v>173.65619537475709</v>
      </c>
      <c r="D66" s="161">
        <v>114.10224557075225</v>
      </c>
    </row>
    <row r="67" spans="1:4" x14ac:dyDescent="0.3">
      <c r="B67" s="159" t="s">
        <v>59</v>
      </c>
      <c r="C67" s="165">
        <v>3.5074991395304154</v>
      </c>
      <c r="D67" s="165">
        <v>3.249796860562864</v>
      </c>
    </row>
    <row r="68" spans="1:4" x14ac:dyDescent="0.3">
      <c r="B68" s="159" t="s">
        <v>158</v>
      </c>
      <c r="C68" s="187">
        <v>8</v>
      </c>
      <c r="D68" s="188"/>
    </row>
    <row r="69" spans="1:4" x14ac:dyDescent="0.3"/>
    <row r="70" spans="1:4" x14ac:dyDescent="0.3"/>
    <row r="71" spans="1:4" x14ac:dyDescent="0.3"/>
    <row r="72" spans="1:4" x14ac:dyDescent="0.3"/>
    <row r="73" spans="1:4" x14ac:dyDescent="0.3"/>
    <row r="74" spans="1:4" x14ac:dyDescent="0.3"/>
    <row r="75" spans="1:4" x14ac:dyDescent="0.3"/>
    <row r="76" spans="1:4" x14ac:dyDescent="0.3"/>
    <row r="77" spans="1:4" x14ac:dyDescent="0.3"/>
    <row r="78" spans="1:4" x14ac:dyDescent="0.3"/>
    <row r="79" spans="1:4" x14ac:dyDescent="0.3"/>
    <row r="80" spans="1:4" x14ac:dyDescent="0.3"/>
    <row r="81" x14ac:dyDescent="0.3"/>
    <row r="82" x14ac:dyDescent="0.3"/>
    <row r="83" x14ac:dyDescent="0.3"/>
    <row r="84" x14ac:dyDescent="0.3"/>
    <row r="85" x14ac:dyDescent="0.3"/>
    <row r="86" x14ac:dyDescent="0.3"/>
    <row r="87" x14ac:dyDescent="0.3"/>
    <row r="88" x14ac:dyDescent="0.3"/>
    <row r="89" x14ac:dyDescent="0.3"/>
    <row r="90" x14ac:dyDescent="0.3"/>
    <row r="91" x14ac:dyDescent="0.3"/>
    <row r="92" x14ac:dyDescent="0.3"/>
    <row r="93" x14ac:dyDescent="0.3"/>
    <row r="94" x14ac:dyDescent="0.3"/>
  </sheetData>
  <mergeCells count="1">
    <mergeCell ref="C68:D68"/>
  </mergeCells>
  <pageMargins left="0.7" right="0.7" top="0.75" bottom="0.75" header="0.3" footer="0.3"/>
  <pageSetup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theme="6" tint="-0.249977111117893"/>
  </sheetPr>
  <dimension ref="A1:CA81"/>
  <sheetViews>
    <sheetView topLeftCell="C1" zoomScaleNormal="100" workbookViewId="0">
      <pane xSplit="6" ySplit="4" topLeftCell="I5" activePane="bottomRight" state="frozen"/>
      <selection pane="topRight" activeCell="E24" sqref="A24:XFD25"/>
      <selection pane="bottomLeft" activeCell="E24" sqref="A24:XFD25"/>
      <selection pane="bottomRight" activeCell="H13" sqref="H13"/>
    </sheetView>
  </sheetViews>
  <sheetFormatPr defaultColWidth="0" defaultRowHeight="15" customHeight="1" zeroHeight="1" x14ac:dyDescent="0.3"/>
  <cols>
    <col min="1" max="4" width="1.5546875" style="2" customWidth="1"/>
    <col min="5" max="5" width="40.5546875" style="2" customWidth="1"/>
    <col min="6" max="6" width="12.5546875" style="2" customWidth="1"/>
    <col min="7" max="8" width="20.5546875" style="2" customWidth="1"/>
    <col min="9" max="53" width="11.5546875" style="2" customWidth="1"/>
    <col min="54" max="54" width="5.5546875" style="2" customWidth="1"/>
    <col min="55" max="79" width="0" style="2" hidden="1" customWidth="1"/>
    <col min="80" max="16384" width="9.44140625" style="2" hidden="1"/>
  </cols>
  <sheetData>
    <row r="1" spans="5:54" ht="5.25" customHeight="1" x14ac:dyDescent="0.3"/>
    <row r="2" spans="5:54" ht="14.4" x14ac:dyDescent="0.3">
      <c r="E2" s="19"/>
      <c r="F2" s="19"/>
      <c r="G2" s="35" t="s">
        <v>172</v>
      </c>
      <c r="H2" s="35"/>
      <c r="I2" s="31">
        <v>2019</v>
      </c>
      <c r="J2" s="31">
        <v>2020</v>
      </c>
      <c r="K2" s="31">
        <v>2021</v>
      </c>
      <c r="L2" s="31">
        <v>2022</v>
      </c>
      <c r="M2" s="31">
        <v>2023</v>
      </c>
      <c r="N2" s="31">
        <v>2024</v>
      </c>
      <c r="O2" s="31">
        <v>2025</v>
      </c>
      <c r="P2" s="31">
        <v>2026</v>
      </c>
      <c r="Q2" s="31">
        <v>2027</v>
      </c>
      <c r="R2" s="31">
        <v>2028</v>
      </c>
      <c r="S2" s="31">
        <v>2029</v>
      </c>
      <c r="T2" s="31">
        <v>2030</v>
      </c>
      <c r="U2" s="31">
        <v>2031</v>
      </c>
      <c r="V2" s="31">
        <v>2032</v>
      </c>
      <c r="W2" s="31">
        <v>2033</v>
      </c>
      <c r="X2" s="31">
        <v>2034</v>
      </c>
      <c r="Y2" s="31">
        <v>2035</v>
      </c>
      <c r="Z2" s="31">
        <v>2036</v>
      </c>
      <c r="AA2" s="31">
        <v>2037</v>
      </c>
      <c r="AB2" s="31">
        <v>2038</v>
      </c>
      <c r="AC2" s="31">
        <v>2039</v>
      </c>
      <c r="AD2" s="31">
        <v>2040</v>
      </c>
      <c r="AE2" s="31">
        <v>2041</v>
      </c>
      <c r="AF2" s="31">
        <v>2042</v>
      </c>
      <c r="AG2" s="31">
        <v>2043</v>
      </c>
      <c r="AH2" s="31">
        <v>2044</v>
      </c>
      <c r="AI2" s="31">
        <v>2045</v>
      </c>
      <c r="AJ2" s="31">
        <v>2046</v>
      </c>
      <c r="AK2" s="31">
        <v>2047</v>
      </c>
      <c r="AL2" s="31">
        <v>2048</v>
      </c>
      <c r="AM2" s="31">
        <v>2049</v>
      </c>
      <c r="AN2" s="31">
        <v>2050</v>
      </c>
      <c r="AO2" s="31">
        <v>2051</v>
      </c>
      <c r="AP2" s="31">
        <v>2052</v>
      </c>
      <c r="AQ2" s="31">
        <v>2053</v>
      </c>
      <c r="AR2" s="31">
        <v>2054</v>
      </c>
      <c r="AS2" s="31">
        <v>2055</v>
      </c>
      <c r="AT2" s="31">
        <v>2056</v>
      </c>
      <c r="AU2" s="31">
        <v>2057</v>
      </c>
      <c r="AV2" s="31">
        <v>2058</v>
      </c>
      <c r="AW2" s="31">
        <v>2059</v>
      </c>
      <c r="AX2" s="31">
        <v>2060</v>
      </c>
      <c r="AY2" s="31">
        <v>2061</v>
      </c>
      <c r="AZ2" s="31">
        <v>2062</v>
      </c>
      <c r="BA2" s="31">
        <v>2063</v>
      </c>
    </row>
    <row r="3" spans="5:54" ht="15" customHeight="1" x14ac:dyDescent="0.3">
      <c r="E3" s="15" t="s">
        <v>227</v>
      </c>
      <c r="F3" s="15">
        <v>0</v>
      </c>
      <c r="G3" s="15" t="s">
        <v>166</v>
      </c>
      <c r="H3" s="15"/>
      <c r="I3" s="15">
        <v>0</v>
      </c>
      <c r="J3" s="15">
        <v>0</v>
      </c>
      <c r="K3" s="15">
        <v>0</v>
      </c>
      <c r="L3" s="15">
        <v>0</v>
      </c>
      <c r="M3" s="15">
        <v>0</v>
      </c>
      <c r="N3" s="15">
        <v>1</v>
      </c>
      <c r="O3" s="15">
        <v>1</v>
      </c>
      <c r="P3" s="15">
        <v>1</v>
      </c>
      <c r="Q3" s="15">
        <v>1</v>
      </c>
      <c r="R3" s="15">
        <v>1</v>
      </c>
      <c r="S3" s="15">
        <v>1</v>
      </c>
      <c r="T3" s="15">
        <v>1</v>
      </c>
      <c r="U3" s="15">
        <v>1</v>
      </c>
      <c r="V3" s="15">
        <v>1</v>
      </c>
      <c r="W3" s="15">
        <v>1</v>
      </c>
      <c r="X3" s="15">
        <v>1</v>
      </c>
      <c r="Y3" s="15">
        <v>1</v>
      </c>
      <c r="Z3" s="15">
        <v>1</v>
      </c>
      <c r="AA3" s="15">
        <v>1</v>
      </c>
      <c r="AB3" s="15">
        <v>1</v>
      </c>
      <c r="AC3" s="15">
        <v>1</v>
      </c>
      <c r="AD3" s="15">
        <v>1</v>
      </c>
      <c r="AE3" s="15">
        <v>1</v>
      </c>
      <c r="AF3" s="15">
        <v>1</v>
      </c>
      <c r="AG3" s="15">
        <v>1</v>
      </c>
      <c r="AH3" s="15">
        <v>1</v>
      </c>
      <c r="AI3" s="15">
        <v>1</v>
      </c>
      <c r="AJ3" s="15">
        <v>1</v>
      </c>
      <c r="AK3" s="15">
        <v>1</v>
      </c>
      <c r="AL3" s="15">
        <v>0</v>
      </c>
      <c r="AM3" s="15">
        <v>0</v>
      </c>
      <c r="AN3" s="15">
        <v>0</v>
      </c>
      <c r="AO3" s="15">
        <v>0</v>
      </c>
      <c r="AP3" s="15">
        <v>0</v>
      </c>
      <c r="AQ3" s="15">
        <v>0</v>
      </c>
      <c r="AR3" s="15">
        <v>0</v>
      </c>
      <c r="AS3" s="15">
        <v>0</v>
      </c>
      <c r="AT3" s="15">
        <v>0</v>
      </c>
      <c r="AU3" s="15">
        <v>0</v>
      </c>
      <c r="AV3" s="15">
        <v>0</v>
      </c>
      <c r="AW3" s="15">
        <v>0</v>
      </c>
      <c r="AX3" s="15">
        <v>0</v>
      </c>
      <c r="AY3" s="15">
        <v>0</v>
      </c>
      <c r="AZ3" s="15">
        <v>0</v>
      </c>
      <c r="BA3" s="15">
        <v>0</v>
      </c>
    </row>
    <row r="4" spans="5:54" ht="15" customHeight="1" x14ac:dyDescent="0.3"/>
    <row r="5" spans="5:54" ht="14.4" x14ac:dyDescent="0.3">
      <c r="E5" s="1" t="s">
        <v>141</v>
      </c>
      <c r="F5" s="1" t="s">
        <v>173</v>
      </c>
      <c r="G5" s="36" t="s">
        <v>143</v>
      </c>
      <c r="H5" s="36"/>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row>
    <row r="6" spans="5:54" ht="14.4" x14ac:dyDescent="0.3">
      <c r="E6" s="2" t="s">
        <v>61</v>
      </c>
      <c r="G6" s="43" t="s">
        <v>179</v>
      </c>
      <c r="H6" s="175">
        <v>13669090.554514905</v>
      </c>
      <c r="I6" s="18">
        <v>0</v>
      </c>
      <c r="J6" s="18">
        <v>0</v>
      </c>
      <c r="K6" s="18">
        <v>0</v>
      </c>
      <c r="L6" s="18">
        <v>0</v>
      </c>
      <c r="M6" s="18">
        <v>0</v>
      </c>
      <c r="N6" s="18">
        <v>0</v>
      </c>
      <c r="O6" s="18">
        <v>10952.796918681817</v>
      </c>
      <c r="P6" s="18">
        <v>32858.390756045454</v>
      </c>
      <c r="Q6" s="18">
        <v>32858.390756045454</v>
      </c>
      <c r="R6" s="18">
        <v>32858.390756045454</v>
      </c>
      <c r="S6" s="18">
        <v>142386.35994286364</v>
      </c>
      <c r="T6" s="18">
        <v>251914.32912968181</v>
      </c>
      <c r="U6" s="18">
        <v>383347.89215386368</v>
      </c>
      <c r="V6" s="18">
        <v>514781.45517804555</v>
      </c>
      <c r="W6" s="18">
        <v>657167.81512090913</v>
      </c>
      <c r="X6" s="18">
        <v>810506.97198245465</v>
      </c>
      <c r="Y6" s="18">
        <v>974798.92576268187</v>
      </c>
      <c r="Z6" s="18">
        <v>1139090.8795429091</v>
      </c>
      <c r="AA6" s="18">
        <v>1128138.0826242273</v>
      </c>
      <c r="AB6" s="18">
        <v>1106232.4887868634</v>
      </c>
      <c r="AC6" s="18">
        <v>1106232.4887868634</v>
      </c>
      <c r="AD6" s="18">
        <v>1106232.4887868634</v>
      </c>
      <c r="AE6" s="18">
        <v>996704.5196000454</v>
      </c>
      <c r="AF6" s="18">
        <v>887176.55041322706</v>
      </c>
      <c r="AG6" s="18">
        <v>755742.9873890453</v>
      </c>
      <c r="AH6" s="18">
        <v>624309.42436486355</v>
      </c>
      <c r="AI6" s="18">
        <v>481923.06442199997</v>
      </c>
      <c r="AJ6" s="18">
        <v>328583.90756045451</v>
      </c>
      <c r="AK6" s="18">
        <v>164291.95378022725</v>
      </c>
      <c r="AL6" s="18">
        <v>0</v>
      </c>
      <c r="AM6" s="18">
        <v>0</v>
      </c>
      <c r="AN6" s="18">
        <v>0</v>
      </c>
      <c r="AO6" s="18">
        <v>0</v>
      </c>
      <c r="AP6" s="18">
        <v>0</v>
      </c>
      <c r="AQ6" s="18">
        <v>0</v>
      </c>
      <c r="AR6" s="18">
        <v>0</v>
      </c>
      <c r="AS6" s="18">
        <v>0</v>
      </c>
      <c r="AT6" s="18">
        <v>0</v>
      </c>
      <c r="AU6" s="18">
        <v>0</v>
      </c>
      <c r="AV6" s="18">
        <v>0</v>
      </c>
      <c r="AW6" s="18">
        <v>0</v>
      </c>
      <c r="AX6" s="18">
        <v>0</v>
      </c>
      <c r="AY6" s="18">
        <v>0</v>
      </c>
      <c r="AZ6" s="18">
        <v>0</v>
      </c>
      <c r="BA6" s="18">
        <v>0</v>
      </c>
    </row>
    <row r="7" spans="5:54" ht="14.4" x14ac:dyDescent="0.3">
      <c r="E7" s="2" t="s">
        <v>174</v>
      </c>
      <c r="G7" s="43" t="s">
        <v>179</v>
      </c>
      <c r="H7" s="175">
        <v>14052161.636234917</v>
      </c>
      <c r="I7" s="18">
        <v>0</v>
      </c>
      <c r="J7" s="18">
        <v>0</v>
      </c>
      <c r="K7" s="18">
        <v>0</v>
      </c>
      <c r="L7" s="18">
        <v>0</v>
      </c>
      <c r="M7" s="18">
        <v>0</v>
      </c>
      <c r="N7" s="18">
        <v>0</v>
      </c>
      <c r="O7" s="18">
        <v>11259.744900829261</v>
      </c>
      <c r="P7" s="18">
        <v>33779.234702487782</v>
      </c>
      <c r="Q7" s="18">
        <v>33779.234702487782</v>
      </c>
      <c r="R7" s="18">
        <v>33779.234702487782</v>
      </c>
      <c r="S7" s="18">
        <v>146376.68371078037</v>
      </c>
      <c r="T7" s="18">
        <v>258974.13271907298</v>
      </c>
      <c r="U7" s="18">
        <v>394091.07152902411</v>
      </c>
      <c r="V7" s="18">
        <v>529208.01033897535</v>
      </c>
      <c r="W7" s="18">
        <v>675584.69404975569</v>
      </c>
      <c r="X7" s="18">
        <v>833221.12266136531</v>
      </c>
      <c r="Y7" s="18">
        <v>1002117.2961738042</v>
      </c>
      <c r="Z7" s="18">
        <v>1171013.469686243</v>
      </c>
      <c r="AA7" s="18">
        <v>1159753.7247854138</v>
      </c>
      <c r="AB7" s="18">
        <v>1137234.2349837553</v>
      </c>
      <c r="AC7" s="18">
        <v>1137234.2349837553</v>
      </c>
      <c r="AD7" s="18">
        <v>1137234.2349837553</v>
      </c>
      <c r="AE7" s="18">
        <v>1024636.7859754628</v>
      </c>
      <c r="AF7" s="18">
        <v>912039.33696717001</v>
      </c>
      <c r="AG7" s="18">
        <v>776922.39815721882</v>
      </c>
      <c r="AH7" s="18">
        <v>641805.45934726775</v>
      </c>
      <c r="AI7" s="18">
        <v>495428.77563648747</v>
      </c>
      <c r="AJ7" s="18">
        <v>337792.34702487779</v>
      </c>
      <c r="AK7" s="18">
        <v>168896.17351243889</v>
      </c>
      <c r="AL7" s="18">
        <v>0</v>
      </c>
      <c r="AM7" s="18">
        <v>0</v>
      </c>
      <c r="AN7" s="18">
        <v>0</v>
      </c>
      <c r="AO7" s="18">
        <v>0</v>
      </c>
      <c r="AP7" s="18">
        <v>0</v>
      </c>
      <c r="AQ7" s="18">
        <v>0</v>
      </c>
      <c r="AR7" s="18">
        <v>0</v>
      </c>
      <c r="AS7" s="18">
        <v>0</v>
      </c>
      <c r="AT7" s="18">
        <v>0</v>
      </c>
      <c r="AU7" s="18">
        <v>0</v>
      </c>
      <c r="AV7" s="18">
        <v>0</v>
      </c>
      <c r="AW7" s="18">
        <v>0</v>
      </c>
      <c r="AX7" s="18">
        <v>0</v>
      </c>
      <c r="AY7" s="18">
        <v>0</v>
      </c>
      <c r="AZ7" s="18">
        <v>0</v>
      </c>
      <c r="BA7" s="18">
        <v>0</v>
      </c>
      <c r="BB7" s="18">
        <v>0</v>
      </c>
    </row>
    <row r="8" spans="5:54" ht="14.4" x14ac:dyDescent="0.3">
      <c r="E8" s="2" t="s">
        <v>175</v>
      </c>
      <c r="G8" s="43" t="s">
        <v>179</v>
      </c>
      <c r="H8" s="175">
        <v>799221.54054750002</v>
      </c>
      <c r="I8" s="18">
        <v>0</v>
      </c>
      <c r="J8" s="18">
        <v>0</v>
      </c>
      <c r="K8" s="18">
        <v>0</v>
      </c>
      <c r="L8" s="18">
        <v>0</v>
      </c>
      <c r="M8" s="18">
        <v>0</v>
      </c>
      <c r="N8" s="18">
        <v>0</v>
      </c>
      <c r="O8" s="18">
        <v>648.77386142307705</v>
      </c>
      <c r="P8" s="18">
        <v>1946.3215842692314</v>
      </c>
      <c r="Q8" s="18">
        <v>1946.3215842692314</v>
      </c>
      <c r="R8" s="18">
        <v>1946.3215842692314</v>
      </c>
      <c r="S8" s="18">
        <v>8434.0601985000012</v>
      </c>
      <c r="T8" s="18">
        <v>14921.798812730773</v>
      </c>
      <c r="U8" s="18">
        <v>22707.085149807695</v>
      </c>
      <c r="V8" s="18">
        <v>30492.371486884625</v>
      </c>
      <c r="W8" s="18">
        <v>38926.431685384625</v>
      </c>
      <c r="X8" s="18">
        <v>48009.265745307704</v>
      </c>
      <c r="Y8" s="18">
        <v>57740.873666653853</v>
      </c>
      <c r="Z8" s="18">
        <v>67472.48158800001</v>
      </c>
      <c r="AA8" s="18">
        <v>65466.622523076934</v>
      </c>
      <c r="AB8" s="18">
        <v>64195.425969230768</v>
      </c>
      <c r="AC8" s="18">
        <v>64195.425969230768</v>
      </c>
      <c r="AD8" s="18">
        <v>64195.425969230768</v>
      </c>
      <c r="AE8" s="18">
        <v>57839.443200000009</v>
      </c>
      <c r="AF8" s="18">
        <v>51483.460430769235</v>
      </c>
      <c r="AG8" s="18">
        <v>43856.281107692303</v>
      </c>
      <c r="AH8" s="18">
        <v>36229.101784615385</v>
      </c>
      <c r="AI8" s="18">
        <v>27966.324184615391</v>
      </c>
      <c r="AJ8" s="18">
        <v>19067.94830769231</v>
      </c>
      <c r="AK8" s="18">
        <v>9533.9741538461549</v>
      </c>
      <c r="AL8" s="18">
        <v>0</v>
      </c>
      <c r="AM8" s="18">
        <v>0</v>
      </c>
      <c r="AN8" s="18">
        <v>0</v>
      </c>
      <c r="AO8" s="18">
        <v>0</v>
      </c>
      <c r="AP8" s="18">
        <v>0</v>
      </c>
      <c r="AQ8" s="18">
        <v>0</v>
      </c>
      <c r="AR8" s="18">
        <v>0</v>
      </c>
      <c r="AS8" s="18">
        <v>0</v>
      </c>
      <c r="AT8" s="18">
        <v>0</v>
      </c>
      <c r="AU8" s="18">
        <v>0</v>
      </c>
      <c r="AV8" s="18">
        <v>0</v>
      </c>
      <c r="AW8" s="18">
        <v>0</v>
      </c>
      <c r="AX8" s="18">
        <v>0</v>
      </c>
      <c r="AY8" s="18">
        <v>0</v>
      </c>
      <c r="AZ8" s="18">
        <v>0</v>
      </c>
      <c r="BA8" s="18">
        <v>0</v>
      </c>
    </row>
    <row r="9" spans="5:54" ht="14.4" x14ac:dyDescent="0.3">
      <c r="E9" s="2" t="s">
        <v>62</v>
      </c>
      <c r="G9" s="43" t="s">
        <v>179</v>
      </c>
      <c r="H9" s="175">
        <v>5073214.4700674601</v>
      </c>
      <c r="I9" s="18">
        <v>0</v>
      </c>
      <c r="J9" s="18">
        <v>0</v>
      </c>
      <c r="K9" s="18">
        <v>0</v>
      </c>
      <c r="L9" s="18">
        <v>0</v>
      </c>
      <c r="M9" s="18">
        <v>0</v>
      </c>
      <c r="N9" s="18">
        <v>0</v>
      </c>
      <c r="O9" s="18">
        <v>12079.082071589191</v>
      </c>
      <c r="P9" s="18">
        <v>36237.246214767576</v>
      </c>
      <c r="Q9" s="18">
        <v>36237.246214767576</v>
      </c>
      <c r="R9" s="18">
        <v>36237.246214767576</v>
      </c>
      <c r="S9" s="18">
        <v>157028.06693065949</v>
      </c>
      <c r="T9" s="18">
        <v>277818.88764655142</v>
      </c>
      <c r="U9" s="18">
        <v>422767.87250562169</v>
      </c>
      <c r="V9" s="18">
        <v>422767.87250562169</v>
      </c>
      <c r="W9" s="18">
        <v>422767.87250562169</v>
      </c>
      <c r="X9" s="18">
        <v>422767.87250562169</v>
      </c>
      <c r="Y9" s="18">
        <v>422767.87250562169</v>
      </c>
      <c r="Z9" s="18">
        <v>422767.87250562169</v>
      </c>
      <c r="AA9" s="18">
        <v>410688.79043403262</v>
      </c>
      <c r="AB9" s="18">
        <v>386530.62629085412</v>
      </c>
      <c r="AC9" s="18">
        <v>386530.62629085412</v>
      </c>
      <c r="AD9" s="18">
        <v>386530.62629085412</v>
      </c>
      <c r="AE9" s="18">
        <v>265739.80557496223</v>
      </c>
      <c r="AF9" s="18">
        <v>144948.9848590703</v>
      </c>
      <c r="AG9" s="18">
        <v>0</v>
      </c>
      <c r="AH9" s="18">
        <v>0</v>
      </c>
      <c r="AI9" s="18">
        <v>0</v>
      </c>
      <c r="AJ9" s="18">
        <v>0</v>
      </c>
      <c r="AK9" s="18">
        <v>0</v>
      </c>
      <c r="AL9" s="18">
        <v>0</v>
      </c>
      <c r="AM9" s="18">
        <v>0</v>
      </c>
      <c r="AN9" s="18">
        <v>0</v>
      </c>
      <c r="AO9" s="18">
        <v>0</v>
      </c>
      <c r="AP9" s="18">
        <v>0</v>
      </c>
      <c r="AQ9" s="18">
        <v>0</v>
      </c>
      <c r="AR9" s="18">
        <v>0</v>
      </c>
      <c r="AS9" s="18">
        <v>0</v>
      </c>
      <c r="AT9" s="18">
        <v>0</v>
      </c>
      <c r="AU9" s="18">
        <v>0</v>
      </c>
      <c r="AV9" s="18">
        <v>0</v>
      </c>
      <c r="AW9" s="18">
        <v>0</v>
      </c>
      <c r="AX9" s="18">
        <v>0</v>
      </c>
      <c r="AY9" s="18">
        <v>0</v>
      </c>
      <c r="AZ9" s="18">
        <v>0</v>
      </c>
      <c r="BA9" s="18">
        <v>0</v>
      </c>
    </row>
    <row r="10" spans="5:54" ht="14.4" x14ac:dyDescent="0.3">
      <c r="E10" s="2" t="s">
        <v>181</v>
      </c>
      <c r="G10" s="43" t="s">
        <v>179</v>
      </c>
      <c r="H10" s="175">
        <v>87359111.351626545</v>
      </c>
      <c r="I10" s="18">
        <v>0</v>
      </c>
      <c r="J10" s="18">
        <v>0</v>
      </c>
      <c r="K10" s="18">
        <v>0</v>
      </c>
      <c r="L10" s="18">
        <v>0</v>
      </c>
      <c r="M10" s="18">
        <v>0</v>
      </c>
      <c r="N10" s="18">
        <v>0</v>
      </c>
      <c r="O10" s="18">
        <v>65548.862959274338</v>
      </c>
      <c r="P10" s="18">
        <v>197629.82182221211</v>
      </c>
      <c r="Q10" s="18">
        <v>198617.9709313231</v>
      </c>
      <c r="R10" s="18">
        <v>199611.0607859797</v>
      </c>
      <c r="S10" s="18">
        <v>869306.16972294135</v>
      </c>
      <c r="T10" s="18">
        <v>1545693.2394727531</v>
      </c>
      <c r="U10" s="18">
        <v>2363902.5955849602</v>
      </c>
      <c r="V10" s="18">
        <v>3190255.4029273032</v>
      </c>
      <c r="W10" s="18">
        <v>4093029.8041811977</v>
      </c>
      <c r="X10" s="18">
        <v>5073310.4422825947</v>
      </c>
      <c r="Y10" s="18">
        <v>6132192.6014860347</v>
      </c>
      <c r="Z10" s="18">
        <v>7201536.7495204518</v>
      </c>
      <c r="AA10" s="18">
        <v>7167952.6598712439</v>
      </c>
      <c r="AB10" s="18">
        <v>7063912.9586430136</v>
      </c>
      <c r="AC10" s="18">
        <v>7099232.5234362287</v>
      </c>
      <c r="AD10" s="18">
        <v>7134728.6860534092</v>
      </c>
      <c r="AE10" s="18">
        <v>6460461.50478232</v>
      </c>
      <c r="AF10" s="18">
        <v>5779273.2834813697</v>
      </c>
      <c r="AG10" s="18">
        <v>4947700.0721359942</v>
      </c>
      <c r="AH10" s="18">
        <v>4107666.6468450781</v>
      </c>
      <c r="AI10" s="18">
        <v>3186684.5460261288</v>
      </c>
      <c r="AJ10" s="18">
        <v>2183603.1605156306</v>
      </c>
      <c r="AK10" s="18">
        <v>1097260.5881591048</v>
      </c>
      <c r="AL10" s="18">
        <v>0</v>
      </c>
      <c r="AM10" s="18">
        <v>0</v>
      </c>
      <c r="AN10" s="18">
        <v>0</v>
      </c>
      <c r="AO10" s="18">
        <v>0</v>
      </c>
      <c r="AP10" s="18">
        <v>0</v>
      </c>
      <c r="AQ10" s="18">
        <v>0</v>
      </c>
      <c r="AR10" s="18">
        <v>0</v>
      </c>
      <c r="AS10" s="18">
        <v>0</v>
      </c>
      <c r="AT10" s="18">
        <v>0</v>
      </c>
      <c r="AU10" s="18">
        <v>0</v>
      </c>
      <c r="AV10" s="18">
        <v>0</v>
      </c>
      <c r="AW10" s="18">
        <v>0</v>
      </c>
      <c r="AX10" s="18">
        <v>0</v>
      </c>
      <c r="AY10" s="18">
        <v>0</v>
      </c>
      <c r="AZ10" s="18">
        <v>0</v>
      </c>
      <c r="BA10" s="18">
        <v>0</v>
      </c>
    </row>
    <row r="11" spans="5:54" ht="14.4" x14ac:dyDescent="0.3">
      <c r="E11" s="2" t="s">
        <v>183</v>
      </c>
      <c r="G11" s="43" t="s">
        <v>179</v>
      </c>
      <c r="H11" s="175">
        <v>114363652.46633227</v>
      </c>
      <c r="I11" s="18">
        <v>0</v>
      </c>
      <c r="J11" s="18">
        <v>0</v>
      </c>
      <c r="K11" s="18">
        <v>0</v>
      </c>
      <c r="L11" s="18">
        <v>0</v>
      </c>
      <c r="M11" s="18">
        <v>0</v>
      </c>
      <c r="N11" s="18">
        <v>0</v>
      </c>
      <c r="O11" s="18">
        <v>85811.396968819055</v>
      </c>
      <c r="P11" s="18">
        <v>258721.36186098939</v>
      </c>
      <c r="Q11" s="18">
        <v>260014.96867029427</v>
      </c>
      <c r="R11" s="18">
        <v>261315.04351364568</v>
      </c>
      <c r="S11" s="18">
        <v>1138027.0145019267</v>
      </c>
      <c r="T11" s="18">
        <v>2023499.5723240026</v>
      </c>
      <c r="U11" s="18">
        <v>3094634.6720216</v>
      </c>
      <c r="V11" s="18">
        <v>4176430.5352268643</v>
      </c>
      <c r="W11" s="18">
        <v>5358271.5164719122</v>
      </c>
      <c r="X11" s="18">
        <v>6641577.5446669348</v>
      </c>
      <c r="Y11" s="18">
        <v>8027782.4794964027</v>
      </c>
      <c r="Z11" s="18">
        <v>9427683.4242355488</v>
      </c>
      <c r="AA11" s="18">
        <v>9383717.7851898335</v>
      </c>
      <c r="AB11" s="18">
        <v>9247517.2212203275</v>
      </c>
      <c r="AC11" s="18">
        <v>9293754.8073264286</v>
      </c>
      <c r="AD11" s="18">
        <v>9340223.5813630596</v>
      </c>
      <c r="AE11" s="18">
        <v>8457526.2141936477</v>
      </c>
      <c r="AF11" s="18">
        <v>7565768.367763008</v>
      </c>
      <c r="AG11" s="18">
        <v>6477138.3637348851</v>
      </c>
      <c r="AH11" s="18">
        <v>5377432.9154572878</v>
      </c>
      <c r="AI11" s="18">
        <v>4171755.8512547589</v>
      </c>
      <c r="AJ11" s="18">
        <v>2858600.8844393394</v>
      </c>
      <c r="AK11" s="18">
        <v>1436446.9444307683</v>
      </c>
      <c r="AL11" s="18">
        <v>0</v>
      </c>
      <c r="AM11" s="18">
        <v>0</v>
      </c>
      <c r="AN11" s="18">
        <v>0</v>
      </c>
      <c r="AO11" s="18">
        <v>0</v>
      </c>
      <c r="AP11" s="18">
        <v>0</v>
      </c>
      <c r="AQ11" s="18">
        <v>0</v>
      </c>
      <c r="AR11" s="18">
        <v>0</v>
      </c>
      <c r="AS11" s="18">
        <v>0</v>
      </c>
      <c r="AT11" s="18">
        <v>0</v>
      </c>
      <c r="AU11" s="18">
        <v>0</v>
      </c>
      <c r="AV11" s="18">
        <v>0</v>
      </c>
      <c r="AW11" s="18">
        <v>0</v>
      </c>
      <c r="AX11" s="18">
        <v>0</v>
      </c>
      <c r="AY11" s="18">
        <v>0</v>
      </c>
      <c r="AZ11" s="18">
        <v>0</v>
      </c>
      <c r="BA11" s="18">
        <v>0</v>
      </c>
    </row>
    <row r="12" spans="5:54" ht="14.4" x14ac:dyDescent="0.3">
      <c r="E12" s="2" t="s">
        <v>184</v>
      </c>
      <c r="G12" s="43" t="s">
        <v>179</v>
      </c>
      <c r="H12" s="175">
        <v>974629.53519750014</v>
      </c>
      <c r="I12" s="18">
        <v>0</v>
      </c>
      <c r="J12" s="18">
        <v>0</v>
      </c>
      <c r="K12" s="18">
        <v>0</v>
      </c>
      <c r="L12" s="18">
        <v>0</v>
      </c>
      <c r="M12" s="18">
        <v>0</v>
      </c>
      <c r="N12" s="18">
        <v>0</v>
      </c>
      <c r="O12" s="18">
        <v>42375.197182499993</v>
      </c>
      <c r="P12" s="18">
        <v>42375.197182499993</v>
      </c>
      <c r="Q12" s="18">
        <v>42375.197182499993</v>
      </c>
      <c r="R12" s="18">
        <v>42375.197182499993</v>
      </c>
      <c r="S12" s="18">
        <v>42375.197182499993</v>
      </c>
      <c r="T12" s="18">
        <v>42375.197182499993</v>
      </c>
      <c r="U12" s="18">
        <v>42375.197182499993</v>
      </c>
      <c r="V12" s="18">
        <v>42375.197182499993</v>
      </c>
      <c r="W12" s="18">
        <v>42375.197182499993</v>
      </c>
      <c r="X12" s="18">
        <v>42375.197182499993</v>
      </c>
      <c r="Y12" s="18">
        <v>42375.197182499993</v>
      </c>
      <c r="Z12" s="18">
        <v>42375.197182499993</v>
      </c>
      <c r="AA12" s="18">
        <v>42375.197182499993</v>
      </c>
      <c r="AB12" s="18">
        <v>42375.197182499993</v>
      </c>
      <c r="AC12" s="18">
        <v>42375.197182499993</v>
      </c>
      <c r="AD12" s="18">
        <v>42375.197182499993</v>
      </c>
      <c r="AE12" s="18">
        <v>42375.197182499993</v>
      </c>
      <c r="AF12" s="18">
        <v>42375.197182499993</v>
      </c>
      <c r="AG12" s="18">
        <v>42375.197182499993</v>
      </c>
      <c r="AH12" s="18">
        <v>42375.197182499993</v>
      </c>
      <c r="AI12" s="18">
        <v>42375.197182499993</v>
      </c>
      <c r="AJ12" s="18">
        <v>42375.197182499993</v>
      </c>
      <c r="AK12" s="18">
        <v>42375.197182499993</v>
      </c>
      <c r="AL12" s="18">
        <v>0</v>
      </c>
      <c r="AM12" s="18">
        <v>0</v>
      </c>
      <c r="AN12" s="18">
        <v>0</v>
      </c>
      <c r="AO12" s="18">
        <v>0</v>
      </c>
      <c r="AP12" s="18">
        <v>0</v>
      </c>
      <c r="AQ12" s="18">
        <v>0</v>
      </c>
      <c r="AR12" s="18">
        <v>0</v>
      </c>
      <c r="AS12" s="18">
        <v>0</v>
      </c>
      <c r="AT12" s="18">
        <v>0</v>
      </c>
      <c r="AU12" s="18">
        <v>0</v>
      </c>
      <c r="AV12" s="18">
        <v>0</v>
      </c>
      <c r="AW12" s="18">
        <v>0</v>
      </c>
      <c r="AX12" s="18">
        <v>0</v>
      </c>
      <c r="AY12" s="18">
        <v>0</v>
      </c>
      <c r="AZ12" s="18">
        <v>0</v>
      </c>
      <c r="BA12" s="18">
        <v>0</v>
      </c>
    </row>
    <row r="13" spans="5:54" ht="14.4" x14ac:dyDescent="0.3">
      <c r="E13" s="2" t="s">
        <v>67</v>
      </c>
      <c r="G13" s="43" t="s">
        <v>179</v>
      </c>
      <c r="H13" s="175">
        <v>2744811.5934573109</v>
      </c>
      <c r="I13" s="18">
        <v>0</v>
      </c>
      <c r="J13" s="18">
        <v>0</v>
      </c>
      <c r="K13" s="18">
        <v>0</v>
      </c>
      <c r="L13" s="18">
        <v>0</v>
      </c>
      <c r="M13" s="18">
        <v>0</v>
      </c>
      <c r="N13" s="18">
        <v>0</v>
      </c>
      <c r="O13" s="18">
        <v>26392.419167858756</v>
      </c>
      <c r="P13" s="18">
        <v>52784.838335717512</v>
      </c>
      <c r="Q13" s="18">
        <v>0</v>
      </c>
      <c r="R13" s="18">
        <v>0</v>
      </c>
      <c r="S13" s="18">
        <v>263924.19167858752</v>
      </c>
      <c r="T13" s="18">
        <v>263924.19167858752</v>
      </c>
      <c r="U13" s="18">
        <v>316709.03001430508</v>
      </c>
      <c r="V13" s="18">
        <v>316709.03001430526</v>
      </c>
      <c r="W13" s="18">
        <v>343101.44918216381</v>
      </c>
      <c r="X13" s="18">
        <v>369493.86835002241</v>
      </c>
      <c r="Y13" s="18">
        <v>395886.28751788131</v>
      </c>
      <c r="Z13" s="18">
        <v>395886.28751788131</v>
      </c>
      <c r="AA13" s="18">
        <v>0</v>
      </c>
      <c r="AB13" s="18">
        <v>0</v>
      </c>
      <c r="AC13" s="18">
        <v>0</v>
      </c>
      <c r="AD13" s="18">
        <v>0</v>
      </c>
      <c r="AE13" s="18">
        <v>0</v>
      </c>
      <c r="AF13" s="18">
        <v>0</v>
      </c>
      <c r="AG13" s="18">
        <v>0</v>
      </c>
      <c r="AH13" s="18">
        <v>0</v>
      </c>
      <c r="AI13" s="18">
        <v>0</v>
      </c>
      <c r="AJ13" s="18">
        <v>0</v>
      </c>
      <c r="AK13" s="18">
        <v>0</v>
      </c>
      <c r="AL13" s="18">
        <v>0</v>
      </c>
      <c r="AM13" s="18">
        <v>0</v>
      </c>
      <c r="AN13" s="18">
        <v>0</v>
      </c>
      <c r="AO13" s="18">
        <v>0</v>
      </c>
      <c r="AP13" s="18">
        <v>0</v>
      </c>
      <c r="AQ13" s="18">
        <v>0</v>
      </c>
      <c r="AR13" s="18">
        <v>0</v>
      </c>
      <c r="AS13" s="18">
        <v>0</v>
      </c>
      <c r="AT13" s="18">
        <v>0</v>
      </c>
      <c r="AU13" s="18">
        <v>0</v>
      </c>
      <c r="AV13" s="18">
        <v>0</v>
      </c>
      <c r="AW13" s="18">
        <v>0</v>
      </c>
      <c r="AX13" s="18">
        <v>0</v>
      </c>
      <c r="AY13" s="18">
        <v>0</v>
      </c>
      <c r="AZ13" s="18">
        <v>0</v>
      </c>
      <c r="BA13" s="18">
        <v>0</v>
      </c>
    </row>
    <row r="14" spans="5:54" ht="14.4" x14ac:dyDescent="0.3">
      <c r="E14" s="2" t="s">
        <v>176</v>
      </c>
      <c r="G14" s="43" t="s">
        <v>179</v>
      </c>
      <c r="H14" s="175">
        <v>3276000</v>
      </c>
      <c r="I14" s="18">
        <v>0</v>
      </c>
      <c r="J14" s="18">
        <v>0</v>
      </c>
      <c r="K14" s="18">
        <v>0</v>
      </c>
      <c r="L14" s="18">
        <v>0</v>
      </c>
      <c r="M14" s="18">
        <v>0</v>
      </c>
      <c r="N14" s="18">
        <v>0</v>
      </c>
      <c r="O14" s="18">
        <v>31500</v>
      </c>
      <c r="P14" s="18">
        <v>63000</v>
      </c>
      <c r="Q14" s="18">
        <v>0</v>
      </c>
      <c r="R14" s="18">
        <v>0</v>
      </c>
      <c r="S14" s="18">
        <v>315000</v>
      </c>
      <c r="T14" s="18">
        <v>315000</v>
      </c>
      <c r="U14" s="18">
        <v>378000</v>
      </c>
      <c r="V14" s="18">
        <v>378000.00000000023</v>
      </c>
      <c r="W14" s="18">
        <v>409500</v>
      </c>
      <c r="X14" s="18">
        <v>440999.99999999977</v>
      </c>
      <c r="Y14" s="18">
        <v>472500</v>
      </c>
      <c r="Z14" s="18">
        <v>472500</v>
      </c>
      <c r="AA14" s="18">
        <v>0</v>
      </c>
      <c r="AB14" s="18">
        <v>0</v>
      </c>
      <c r="AC14" s="18">
        <v>0</v>
      </c>
      <c r="AD14" s="18">
        <v>0</v>
      </c>
      <c r="AE14" s="18">
        <v>0</v>
      </c>
      <c r="AF14" s="18">
        <v>0</v>
      </c>
      <c r="AG14" s="18">
        <v>0</v>
      </c>
      <c r="AH14" s="18">
        <v>0</v>
      </c>
      <c r="AI14" s="18">
        <v>0</v>
      </c>
      <c r="AJ14" s="18">
        <v>0</v>
      </c>
      <c r="AK14" s="18">
        <v>0</v>
      </c>
      <c r="AL14" s="18">
        <v>0</v>
      </c>
      <c r="AM14" s="18">
        <v>0</v>
      </c>
      <c r="AN14" s="18">
        <v>0</v>
      </c>
      <c r="AO14" s="18">
        <v>0</v>
      </c>
      <c r="AP14" s="18">
        <v>0</v>
      </c>
      <c r="AQ14" s="18">
        <v>0</v>
      </c>
      <c r="AR14" s="18">
        <v>0</v>
      </c>
      <c r="AS14" s="18">
        <v>0</v>
      </c>
      <c r="AT14" s="18">
        <v>0</v>
      </c>
      <c r="AU14" s="18">
        <v>0</v>
      </c>
      <c r="AV14" s="18">
        <v>0</v>
      </c>
      <c r="AW14" s="18">
        <v>0</v>
      </c>
      <c r="AX14" s="18">
        <v>0</v>
      </c>
      <c r="AY14" s="18">
        <v>0</v>
      </c>
      <c r="AZ14" s="18">
        <v>0</v>
      </c>
      <c r="BA14" s="18">
        <v>0</v>
      </c>
    </row>
    <row r="15" spans="5:54" ht="14.4" x14ac:dyDescent="0.3">
      <c r="E15" s="2" t="s">
        <v>177</v>
      </c>
      <c r="G15" s="43" t="s">
        <v>179</v>
      </c>
      <c r="H15" s="175">
        <v>599040</v>
      </c>
      <c r="I15" s="18">
        <v>0</v>
      </c>
      <c r="J15" s="18">
        <v>0</v>
      </c>
      <c r="K15" s="18">
        <v>0</v>
      </c>
      <c r="L15" s="18">
        <v>0</v>
      </c>
      <c r="M15" s="18">
        <v>0</v>
      </c>
      <c r="N15" s="18">
        <v>0</v>
      </c>
      <c r="O15" s="18">
        <v>480</v>
      </c>
      <c r="P15" s="18">
        <v>1440</v>
      </c>
      <c r="Q15" s="18">
        <v>1440</v>
      </c>
      <c r="R15" s="18">
        <v>1440</v>
      </c>
      <c r="S15" s="18">
        <v>6240</v>
      </c>
      <c r="T15" s="18">
        <v>11040</v>
      </c>
      <c r="U15" s="18">
        <v>16800</v>
      </c>
      <c r="V15" s="18">
        <v>22560.000000000004</v>
      </c>
      <c r="W15" s="18">
        <v>28800.000000000004</v>
      </c>
      <c r="X15" s="18">
        <v>35520</v>
      </c>
      <c r="Y15" s="18">
        <v>42720</v>
      </c>
      <c r="Z15" s="18">
        <v>49920</v>
      </c>
      <c r="AA15" s="18">
        <v>49440</v>
      </c>
      <c r="AB15" s="18">
        <v>48479.999999999993</v>
      </c>
      <c r="AC15" s="18">
        <v>48479.999999999993</v>
      </c>
      <c r="AD15" s="18">
        <v>48479.999999999993</v>
      </c>
      <c r="AE15" s="18">
        <v>43680</v>
      </c>
      <c r="AF15" s="18">
        <v>38879.999999999993</v>
      </c>
      <c r="AG15" s="18">
        <v>33119.999999999993</v>
      </c>
      <c r="AH15" s="18">
        <v>27359.999999999996</v>
      </c>
      <c r="AI15" s="18">
        <v>21120</v>
      </c>
      <c r="AJ15" s="18">
        <v>14399.999999999998</v>
      </c>
      <c r="AK15" s="18">
        <v>7199.9999999999991</v>
      </c>
      <c r="AL15" s="18">
        <v>0</v>
      </c>
      <c r="AM15" s="18">
        <v>0</v>
      </c>
      <c r="AN15" s="18">
        <v>0</v>
      </c>
      <c r="AO15" s="18">
        <v>0</v>
      </c>
      <c r="AP15" s="18">
        <v>0</v>
      </c>
      <c r="AQ15" s="18">
        <v>0</v>
      </c>
      <c r="AR15" s="18">
        <v>0</v>
      </c>
      <c r="AS15" s="18">
        <v>0</v>
      </c>
      <c r="AT15" s="18">
        <v>0</v>
      </c>
      <c r="AU15" s="18">
        <v>0</v>
      </c>
      <c r="AV15" s="18">
        <v>0</v>
      </c>
      <c r="AW15" s="18">
        <v>0</v>
      </c>
      <c r="AX15" s="18">
        <v>0</v>
      </c>
      <c r="AY15" s="18">
        <v>0</v>
      </c>
      <c r="AZ15" s="18">
        <v>0</v>
      </c>
      <c r="BA15" s="18">
        <v>0</v>
      </c>
      <c r="BB15" s="18">
        <v>0</v>
      </c>
    </row>
    <row r="16" spans="5:54" ht="14.4" x14ac:dyDescent="0.3">
      <c r="E16" s="2" t="s">
        <v>178</v>
      </c>
      <c r="G16" s="43" t="s">
        <v>179</v>
      </c>
      <c r="H16" s="175">
        <v>41861860.806374982</v>
      </c>
      <c r="I16" s="18">
        <v>0</v>
      </c>
      <c r="J16" s="18">
        <v>0</v>
      </c>
      <c r="K16" s="18">
        <v>0</v>
      </c>
      <c r="L16" s="18">
        <v>0</v>
      </c>
      <c r="M16" s="18">
        <v>0</v>
      </c>
      <c r="N16" s="18">
        <v>0</v>
      </c>
      <c r="O16" s="18">
        <v>384725.10262499994</v>
      </c>
      <c r="P16" s="18">
        <v>99784.60874999997</v>
      </c>
      <c r="Q16" s="18">
        <v>99784.60874999997</v>
      </c>
      <c r="R16" s="18">
        <v>99784.60874999997</v>
      </c>
      <c r="S16" s="18">
        <v>432399.97124999989</v>
      </c>
      <c r="T16" s="18">
        <v>765015.33374999976</v>
      </c>
      <c r="U16" s="18">
        <v>1164153.7687499996</v>
      </c>
      <c r="V16" s="18">
        <v>1563292.2037499999</v>
      </c>
      <c r="W16" s="18">
        <v>1995692.1749999996</v>
      </c>
      <c r="X16" s="18">
        <v>2461353.6824999992</v>
      </c>
      <c r="Y16" s="18">
        <v>2960276.7262499989</v>
      </c>
      <c r="Z16" s="18">
        <v>3459199.7699999991</v>
      </c>
      <c r="AA16" s="18">
        <v>3425938.2337499992</v>
      </c>
      <c r="AB16" s="18">
        <v>3359415.1612499985</v>
      </c>
      <c r="AC16" s="18">
        <v>3359415.1612499985</v>
      </c>
      <c r="AD16" s="18">
        <v>3359415.1612499985</v>
      </c>
      <c r="AE16" s="18">
        <v>3026799.7987499991</v>
      </c>
      <c r="AF16" s="18">
        <v>2694184.4362499989</v>
      </c>
      <c r="AG16" s="18">
        <v>2295046.0012499988</v>
      </c>
      <c r="AH16" s="18">
        <v>1895907.5662499992</v>
      </c>
      <c r="AI16" s="18">
        <v>1463507.5949999995</v>
      </c>
      <c r="AJ16" s="18">
        <v>997846.08749999956</v>
      </c>
      <c r="AK16" s="18">
        <v>498923.04374999978</v>
      </c>
      <c r="AL16" s="18">
        <v>0</v>
      </c>
      <c r="AM16" s="18">
        <v>0</v>
      </c>
      <c r="AN16" s="18">
        <v>0</v>
      </c>
      <c r="AO16" s="18">
        <v>0</v>
      </c>
      <c r="AP16" s="18">
        <v>0</v>
      </c>
      <c r="AQ16" s="18">
        <v>0</v>
      </c>
      <c r="AR16" s="18">
        <v>0</v>
      </c>
      <c r="AS16" s="18">
        <v>0</v>
      </c>
      <c r="AT16" s="18">
        <v>0</v>
      </c>
      <c r="AU16" s="18">
        <v>0</v>
      </c>
      <c r="AV16" s="18">
        <v>0</v>
      </c>
      <c r="AW16" s="18">
        <v>0</v>
      </c>
      <c r="AX16" s="18">
        <v>0</v>
      </c>
      <c r="AY16" s="18">
        <v>0</v>
      </c>
      <c r="AZ16" s="18">
        <v>0</v>
      </c>
      <c r="BA16" s="18">
        <v>0</v>
      </c>
    </row>
    <row r="17" spans="1:53" ht="14.4" x14ac:dyDescent="0.3">
      <c r="E17" s="2" t="s">
        <v>180</v>
      </c>
      <c r="G17" s="43" t="s">
        <v>179</v>
      </c>
      <c r="H17" s="175">
        <v>27392876.966846347</v>
      </c>
      <c r="I17" s="18">
        <v>0</v>
      </c>
      <c r="J17" s="18">
        <v>0</v>
      </c>
      <c r="K17" s="18">
        <v>0</v>
      </c>
      <c r="L17" s="18">
        <v>0</v>
      </c>
      <c r="M17" s="18">
        <v>0</v>
      </c>
      <c r="N17" s="18">
        <v>277068.5969624999</v>
      </c>
      <c r="O17" s="18">
        <v>2766009.8176889997</v>
      </c>
      <c r="P17" s="18">
        <v>112274.58</v>
      </c>
      <c r="Q17" s="18">
        <v>110828.42140000001</v>
      </c>
      <c r="R17" s="18">
        <v>2217670.1785344444</v>
      </c>
      <c r="S17" s="18">
        <v>2205918.4642991559</v>
      </c>
      <c r="T17" s="18">
        <v>2525040.026557426</v>
      </c>
      <c r="U17" s="18">
        <v>2545385.0717143686</v>
      </c>
      <c r="V17" s="18">
        <v>2705311.7781642727</v>
      </c>
      <c r="W17" s="18">
        <v>2862681.9986926438</v>
      </c>
      <c r="X17" s="18">
        <v>3015979.2657245025</v>
      </c>
      <c r="Y17" s="18">
        <v>2987208.1090897713</v>
      </c>
      <c r="Z17" s="18">
        <v>294306.16545737401</v>
      </c>
      <c r="AA17" s="18">
        <v>266941.60695784958</v>
      </c>
      <c r="AB17" s="18">
        <v>270911.82270650507</v>
      </c>
      <c r="AC17" s="18">
        <v>277685.51577815105</v>
      </c>
      <c r="AD17" s="18">
        <v>284635.34640975529</v>
      </c>
      <c r="AE17" s="18">
        <v>276954.61683059111</v>
      </c>
      <c r="AF17" s="18">
        <v>268570.95516029402</v>
      </c>
      <c r="AG17" s="18">
        <v>256306.68836887617</v>
      </c>
      <c r="AH17" s="18">
        <v>243079.50417892839</v>
      </c>
      <c r="AI17" s="18">
        <v>227175.91776642314</v>
      </c>
      <c r="AJ17" s="18">
        <v>208397.53715404944</v>
      </c>
      <c r="AK17" s="18">
        <v>186534.98124946241</v>
      </c>
      <c r="AL17" s="18">
        <v>0</v>
      </c>
      <c r="AM17" s="18">
        <v>0</v>
      </c>
      <c r="AN17" s="18">
        <v>0</v>
      </c>
      <c r="AO17" s="18">
        <v>0</v>
      </c>
      <c r="AP17" s="18">
        <v>0</v>
      </c>
      <c r="AQ17" s="18">
        <v>0</v>
      </c>
      <c r="AR17" s="18">
        <v>0</v>
      </c>
      <c r="AS17" s="18">
        <v>0</v>
      </c>
      <c r="AT17" s="18">
        <v>0</v>
      </c>
      <c r="AU17" s="18">
        <v>0</v>
      </c>
      <c r="AV17" s="18">
        <v>0</v>
      </c>
      <c r="AW17" s="18">
        <v>0</v>
      </c>
      <c r="AX17" s="18">
        <v>0</v>
      </c>
      <c r="AY17" s="18">
        <v>0</v>
      </c>
      <c r="AZ17" s="18">
        <v>0</v>
      </c>
      <c r="BA17" s="18">
        <v>0</v>
      </c>
    </row>
    <row r="18" spans="1:53" ht="15" customHeight="1" x14ac:dyDescent="0.3">
      <c r="A18" s="37"/>
      <c r="B18" s="37"/>
      <c r="C18" s="37"/>
      <c r="D18" s="37"/>
      <c r="E18" s="38" t="s">
        <v>185</v>
      </c>
      <c r="F18" s="37"/>
      <c r="G18" s="48" t="s">
        <v>179</v>
      </c>
      <c r="H18" s="48"/>
      <c r="I18" s="40">
        <v>0</v>
      </c>
      <c r="J18" s="40">
        <v>0</v>
      </c>
      <c r="K18" s="40">
        <v>0</v>
      </c>
      <c r="L18" s="40">
        <v>0</v>
      </c>
      <c r="M18" s="40">
        <v>0</v>
      </c>
      <c r="N18" s="40">
        <v>0</v>
      </c>
      <c r="O18" s="40">
        <v>286568.27403097553</v>
      </c>
      <c r="P18" s="40">
        <v>719332.41245898907</v>
      </c>
      <c r="Q18" s="40">
        <v>605829.33004168747</v>
      </c>
      <c r="R18" s="40">
        <v>608122.49473969545</v>
      </c>
      <c r="S18" s="40">
        <v>3082857.7438687589</v>
      </c>
      <c r="T18" s="40">
        <v>4994121.3489658805</v>
      </c>
      <c r="U18" s="40">
        <v>7418535.4161416832</v>
      </c>
      <c r="V18" s="40">
        <v>9601019.8748605009</v>
      </c>
      <c r="W18" s="40">
        <v>12040724.780379446</v>
      </c>
      <c r="X18" s="40">
        <v>14682262.2853768</v>
      </c>
      <c r="Y18" s="40">
        <v>17528161.533791583</v>
      </c>
      <c r="Z18" s="40">
        <v>20340326.361779157</v>
      </c>
      <c r="AA18" s="40">
        <v>19358092.862610325</v>
      </c>
      <c r="AB18" s="40">
        <v>19047998.153076544</v>
      </c>
      <c r="AC18" s="40">
        <v>19129555.303975858</v>
      </c>
      <c r="AD18" s="40">
        <v>19211520.240629673</v>
      </c>
      <c r="AE18" s="40">
        <v>17305283.470508937</v>
      </c>
      <c r="AF18" s="40">
        <v>15383065.181097114</v>
      </c>
      <c r="AG18" s="40">
        <v>13043735.299707336</v>
      </c>
      <c r="AH18" s="40">
        <v>10829818.744981613</v>
      </c>
      <c r="AI18" s="40">
        <v>8406133.7587064914</v>
      </c>
      <c r="AJ18" s="40">
        <v>5770023.4450304946</v>
      </c>
      <c r="AK18" s="40">
        <v>2918804.8312188853</v>
      </c>
      <c r="AL18" s="40">
        <v>0</v>
      </c>
      <c r="AM18" s="40">
        <v>0</v>
      </c>
      <c r="AN18" s="40">
        <v>0</v>
      </c>
      <c r="AO18" s="40">
        <v>0</v>
      </c>
      <c r="AP18" s="40">
        <v>0</v>
      </c>
      <c r="AQ18" s="40">
        <v>0</v>
      </c>
      <c r="AR18" s="40">
        <v>0</v>
      </c>
      <c r="AS18" s="40">
        <v>0</v>
      </c>
      <c r="AT18" s="40">
        <v>0</v>
      </c>
      <c r="AU18" s="40">
        <v>0</v>
      </c>
      <c r="AV18" s="40">
        <v>0</v>
      </c>
      <c r="AW18" s="40">
        <v>0</v>
      </c>
      <c r="AX18" s="40">
        <v>0</v>
      </c>
      <c r="AY18" s="40">
        <v>0</v>
      </c>
      <c r="AZ18" s="40">
        <v>0</v>
      </c>
      <c r="BA18" s="40">
        <v>0</v>
      </c>
    </row>
    <row r="19" spans="1:53" ht="15" customHeight="1" x14ac:dyDescent="0.3">
      <c r="A19" s="37"/>
      <c r="B19" s="37"/>
      <c r="C19" s="37"/>
      <c r="D19" s="37"/>
      <c r="E19" s="38" t="s">
        <v>186</v>
      </c>
      <c r="F19" s="37"/>
      <c r="G19" s="48" t="s">
        <v>179</v>
      </c>
      <c r="H19" s="48"/>
      <c r="I19" s="40">
        <v>0</v>
      </c>
      <c r="J19" s="40">
        <v>0</v>
      </c>
      <c r="K19" s="40">
        <v>0</v>
      </c>
      <c r="L19" s="40">
        <v>0</v>
      </c>
      <c r="M19" s="40">
        <v>0</v>
      </c>
      <c r="N19" s="40">
        <v>0</v>
      </c>
      <c r="O19" s="40">
        <v>286568.27403097553</v>
      </c>
      <c r="P19" s="40">
        <v>1005900.6864899646</v>
      </c>
      <c r="Q19" s="40">
        <v>1611730.0165316521</v>
      </c>
      <c r="R19" s="40">
        <v>2219852.5112713473</v>
      </c>
      <c r="S19" s="40">
        <v>5302710.2551401062</v>
      </c>
      <c r="T19" s="40">
        <v>10296831.604105987</v>
      </c>
      <c r="U19" s="40">
        <v>17715367.020247668</v>
      </c>
      <c r="V19" s="40">
        <v>27316386.895108171</v>
      </c>
      <c r="W19" s="40">
        <v>39357111.675487615</v>
      </c>
      <c r="X19" s="40">
        <v>54039373.960864417</v>
      </c>
      <c r="Y19" s="40">
        <v>71567535.494655997</v>
      </c>
      <c r="Z19" s="40">
        <v>91907861.85643515</v>
      </c>
      <c r="AA19" s="40">
        <v>111265954.71904548</v>
      </c>
      <c r="AB19" s="40">
        <v>130313952.87212202</v>
      </c>
      <c r="AC19" s="40">
        <v>149443508.17609787</v>
      </c>
      <c r="AD19" s="40">
        <v>168655028.41672754</v>
      </c>
      <c r="AE19" s="40">
        <v>185960311.88723648</v>
      </c>
      <c r="AF19" s="40">
        <v>201343377.0683336</v>
      </c>
      <c r="AG19" s="40">
        <v>214387112.36804092</v>
      </c>
      <c r="AH19" s="40">
        <v>225216931.11302254</v>
      </c>
      <c r="AI19" s="40">
        <v>233623064.87172902</v>
      </c>
      <c r="AJ19" s="40">
        <v>239393088.3167595</v>
      </c>
      <c r="AK19" s="40">
        <v>242311893.1479784</v>
      </c>
      <c r="AL19" s="40">
        <v>242311893.1479784</v>
      </c>
      <c r="AM19" s="40">
        <v>242311893.1479784</v>
      </c>
      <c r="AN19" s="40">
        <v>242311893.1479784</v>
      </c>
      <c r="AO19" s="40">
        <v>242311893.1479784</v>
      </c>
      <c r="AP19" s="40">
        <v>242311893.1479784</v>
      </c>
      <c r="AQ19" s="40">
        <v>242311893.1479784</v>
      </c>
      <c r="AR19" s="40">
        <v>242311893.1479784</v>
      </c>
      <c r="AS19" s="40">
        <v>242311893.1479784</v>
      </c>
      <c r="AT19" s="40">
        <v>242311893.1479784</v>
      </c>
      <c r="AU19" s="40">
        <v>242311893.1479784</v>
      </c>
      <c r="AV19" s="40">
        <v>242311893.1479784</v>
      </c>
      <c r="AW19" s="40">
        <v>242311893.1479784</v>
      </c>
      <c r="AX19" s="40">
        <v>242311893.1479784</v>
      </c>
      <c r="AY19" s="40">
        <v>242311893.1479784</v>
      </c>
      <c r="AZ19" s="40">
        <v>242311893.1479784</v>
      </c>
      <c r="BA19" s="40">
        <v>242311893.1479784</v>
      </c>
    </row>
    <row r="20" spans="1:53" ht="15" customHeight="1" x14ac:dyDescent="0.3">
      <c r="A20" s="41"/>
      <c r="B20" s="41"/>
      <c r="C20" s="41"/>
      <c r="D20" s="41"/>
      <c r="E20" s="42" t="s">
        <v>187</v>
      </c>
      <c r="F20" s="41"/>
      <c r="G20" s="48" t="s">
        <v>179</v>
      </c>
      <c r="H20" s="48">
        <v>0</v>
      </c>
      <c r="I20" s="40">
        <v>0</v>
      </c>
      <c r="J20" s="40">
        <v>0</v>
      </c>
      <c r="K20" s="40">
        <v>0</v>
      </c>
      <c r="L20" s="40">
        <v>0</v>
      </c>
      <c r="M20" s="40">
        <v>0</v>
      </c>
      <c r="N20" s="40">
        <v>277068.5969624999</v>
      </c>
      <c r="O20" s="40">
        <v>3150734.9203139995</v>
      </c>
      <c r="P20" s="40">
        <v>212059.18874999997</v>
      </c>
      <c r="Q20" s="40">
        <v>210613.03014999998</v>
      </c>
      <c r="R20" s="40">
        <v>2317454.7872844446</v>
      </c>
      <c r="S20" s="40">
        <v>2638318.4355491558</v>
      </c>
      <c r="T20" s="40">
        <v>3290055.3603074257</v>
      </c>
      <c r="U20" s="40">
        <v>3709538.8404643685</v>
      </c>
      <c r="V20" s="40">
        <v>4268603.9819142725</v>
      </c>
      <c r="W20" s="40">
        <v>4858374.1736926436</v>
      </c>
      <c r="X20" s="40">
        <v>5477332.9482245017</v>
      </c>
      <c r="Y20" s="40">
        <v>5947484.8353397697</v>
      </c>
      <c r="Z20" s="40">
        <v>3753505.935457373</v>
      </c>
      <c r="AA20" s="40">
        <v>3692879.8407078488</v>
      </c>
      <c r="AB20" s="40">
        <v>3630326.9839565037</v>
      </c>
      <c r="AC20" s="40">
        <v>3637100.6770281494</v>
      </c>
      <c r="AD20" s="40">
        <v>3644050.5076597538</v>
      </c>
      <c r="AE20" s="40">
        <v>3303754.4155805903</v>
      </c>
      <c r="AF20" s="40">
        <v>2962755.3914102931</v>
      </c>
      <c r="AG20" s="40">
        <v>2551352.6896188748</v>
      </c>
      <c r="AH20" s="40">
        <v>2138987.0704289274</v>
      </c>
      <c r="AI20" s="40">
        <v>1690683.5127664227</v>
      </c>
      <c r="AJ20" s="40">
        <v>1206243.6246540491</v>
      </c>
      <c r="AK20" s="40">
        <v>685458.02499946218</v>
      </c>
      <c r="AL20" s="40">
        <v>0</v>
      </c>
      <c r="AM20" s="40">
        <v>0</v>
      </c>
      <c r="AN20" s="40">
        <v>0</v>
      </c>
      <c r="AO20" s="40">
        <v>0</v>
      </c>
      <c r="AP20" s="40">
        <v>0</v>
      </c>
      <c r="AQ20" s="40">
        <v>0</v>
      </c>
      <c r="AR20" s="40">
        <v>0</v>
      </c>
      <c r="AS20" s="40">
        <v>0</v>
      </c>
      <c r="AT20" s="40">
        <v>0</v>
      </c>
      <c r="AU20" s="40">
        <v>0</v>
      </c>
      <c r="AV20" s="40">
        <v>0</v>
      </c>
      <c r="AW20" s="40">
        <v>0</v>
      </c>
      <c r="AX20" s="40">
        <v>0</v>
      </c>
      <c r="AY20" s="40">
        <v>0</v>
      </c>
      <c r="AZ20" s="40">
        <v>0</v>
      </c>
      <c r="BA20" s="40">
        <v>0</v>
      </c>
    </row>
    <row r="21" spans="1:53" ht="15" customHeight="1" x14ac:dyDescent="0.3">
      <c r="A21" s="41"/>
      <c r="B21" s="41"/>
      <c r="C21" s="41"/>
      <c r="D21" s="41"/>
      <c r="E21" s="42" t="s">
        <v>188</v>
      </c>
      <c r="F21" s="41"/>
      <c r="G21" s="48" t="s">
        <v>179</v>
      </c>
      <c r="H21" s="48"/>
      <c r="I21" s="40">
        <v>0</v>
      </c>
      <c r="J21" s="40">
        <v>0</v>
      </c>
      <c r="K21" s="40">
        <v>0</v>
      </c>
      <c r="L21" s="40">
        <v>0</v>
      </c>
      <c r="M21" s="40">
        <v>0</v>
      </c>
      <c r="N21" s="40">
        <v>277068.5969624999</v>
      </c>
      <c r="O21" s="40">
        <v>3427803.5172764994</v>
      </c>
      <c r="P21" s="40">
        <v>3639862.7060264992</v>
      </c>
      <c r="Q21" s="40">
        <v>3850475.7361764992</v>
      </c>
      <c r="R21" s="40">
        <v>6167930.5234609433</v>
      </c>
      <c r="S21" s="40">
        <v>8806248.9590100981</v>
      </c>
      <c r="T21" s="40">
        <v>12096304.319317523</v>
      </c>
      <c r="U21" s="40">
        <v>15805843.159781892</v>
      </c>
      <c r="V21" s="40">
        <v>20074447.141696163</v>
      </c>
      <c r="W21" s="40">
        <v>24932821.315388806</v>
      </c>
      <c r="X21" s="40">
        <v>30410154.263613306</v>
      </c>
      <c r="Y21" s="40">
        <v>36357639.098953076</v>
      </c>
      <c r="Z21" s="40">
        <v>40111145.034410447</v>
      </c>
      <c r="AA21" s="40">
        <v>43804024.875118293</v>
      </c>
      <c r="AB21" s="40">
        <v>47434351.859074794</v>
      </c>
      <c r="AC21" s="40">
        <v>51071452.536102943</v>
      </c>
      <c r="AD21" s="40">
        <v>54715503.043762699</v>
      </c>
      <c r="AE21" s="40">
        <v>58019257.459343292</v>
      </c>
      <c r="AF21" s="40">
        <v>60982012.850753583</v>
      </c>
      <c r="AG21" s="40">
        <v>63533365.540372461</v>
      </c>
      <c r="AH21" s="40">
        <v>65672352.610801391</v>
      </c>
      <c r="AI21" s="40">
        <v>67363036.12356782</v>
      </c>
      <c r="AJ21" s="40">
        <v>68569279.748221874</v>
      </c>
      <c r="AK21" s="40">
        <v>69254737.773221344</v>
      </c>
      <c r="AL21" s="40">
        <v>69254737.773221344</v>
      </c>
      <c r="AM21" s="40">
        <v>69254737.773221344</v>
      </c>
      <c r="AN21" s="40">
        <v>69254737.773221344</v>
      </c>
      <c r="AO21" s="40">
        <v>69254737.773221344</v>
      </c>
      <c r="AP21" s="40">
        <v>69254737.773221344</v>
      </c>
      <c r="AQ21" s="40">
        <v>69254737.773221344</v>
      </c>
      <c r="AR21" s="40">
        <v>69254737.773221344</v>
      </c>
      <c r="AS21" s="40">
        <v>69254737.773221344</v>
      </c>
      <c r="AT21" s="40">
        <v>69254737.773221344</v>
      </c>
      <c r="AU21" s="40">
        <v>69254737.773221344</v>
      </c>
      <c r="AV21" s="40">
        <v>69254737.773221344</v>
      </c>
      <c r="AW21" s="40">
        <v>69254737.773221344</v>
      </c>
      <c r="AX21" s="40">
        <v>69254737.773221344</v>
      </c>
      <c r="AY21" s="40">
        <v>69254737.773221344</v>
      </c>
      <c r="AZ21" s="40">
        <v>69254737.773221344</v>
      </c>
      <c r="BA21" s="40">
        <v>69254737.773221344</v>
      </c>
    </row>
    <row r="22" spans="1:53" ht="15" customHeight="1" x14ac:dyDescent="0.3">
      <c r="A22" s="41"/>
      <c r="B22" s="41"/>
      <c r="C22" s="41"/>
      <c r="D22" s="41"/>
      <c r="E22" s="42" t="s">
        <v>189</v>
      </c>
      <c r="F22" s="41"/>
      <c r="G22" s="48" t="s">
        <v>179</v>
      </c>
      <c r="H22" s="48"/>
      <c r="I22" s="40">
        <v>0</v>
      </c>
      <c r="J22" s="40">
        <v>0</v>
      </c>
      <c r="K22" s="40">
        <v>0</v>
      </c>
      <c r="L22" s="40">
        <v>0</v>
      </c>
      <c r="M22" s="40">
        <v>0</v>
      </c>
      <c r="N22" s="40">
        <v>-277068.5969624999</v>
      </c>
      <c r="O22" s="40">
        <v>-2864166.646283024</v>
      </c>
      <c r="P22" s="40">
        <v>507273.2237089891</v>
      </c>
      <c r="Q22" s="40">
        <v>395216.29989168746</v>
      </c>
      <c r="R22" s="40">
        <v>-1709332.2925447491</v>
      </c>
      <c r="S22" s="40">
        <v>444539.30831960309</v>
      </c>
      <c r="T22" s="40">
        <v>1704065.9886584547</v>
      </c>
      <c r="U22" s="40">
        <v>3708996.5756773148</v>
      </c>
      <c r="V22" s="40">
        <v>5332415.8929462284</v>
      </c>
      <c r="W22" s="40">
        <v>7182350.6066868026</v>
      </c>
      <c r="X22" s="40">
        <v>9204929.3371522985</v>
      </c>
      <c r="Y22" s="40">
        <v>11580676.698451813</v>
      </c>
      <c r="Z22" s="40">
        <v>16586820.426321784</v>
      </c>
      <c r="AA22" s="40">
        <v>15665213.021902476</v>
      </c>
      <c r="AB22" s="40">
        <v>15417671.16912004</v>
      </c>
      <c r="AC22" s="40">
        <v>15492454.626947708</v>
      </c>
      <c r="AD22" s="40">
        <v>15567469.732969919</v>
      </c>
      <c r="AE22" s="40">
        <v>14001529.054928347</v>
      </c>
      <c r="AF22" s="40">
        <v>12420309.789686821</v>
      </c>
      <c r="AG22" s="40">
        <v>10492382.610088462</v>
      </c>
      <c r="AH22" s="40">
        <v>8690831.6745526865</v>
      </c>
      <c r="AI22" s="40">
        <v>6715450.2459400687</v>
      </c>
      <c r="AJ22" s="40">
        <v>4563779.8203764455</v>
      </c>
      <c r="AK22" s="40">
        <v>2233346.8062194232</v>
      </c>
      <c r="AL22" s="40">
        <v>0</v>
      </c>
      <c r="AM22" s="40">
        <v>0</v>
      </c>
      <c r="AN22" s="40">
        <v>0</v>
      </c>
      <c r="AO22" s="40">
        <v>0</v>
      </c>
      <c r="AP22" s="40">
        <v>0</v>
      </c>
      <c r="AQ22" s="40">
        <v>0</v>
      </c>
      <c r="AR22" s="40">
        <v>0</v>
      </c>
      <c r="AS22" s="40">
        <v>0</v>
      </c>
      <c r="AT22" s="40">
        <v>0</v>
      </c>
      <c r="AU22" s="40">
        <v>0</v>
      </c>
      <c r="AV22" s="40">
        <v>0</v>
      </c>
      <c r="AW22" s="40">
        <v>0</v>
      </c>
      <c r="AX22" s="40">
        <v>0</v>
      </c>
      <c r="AY22" s="40">
        <v>0</v>
      </c>
      <c r="AZ22" s="40">
        <v>0</v>
      </c>
      <c r="BA22" s="40">
        <v>0</v>
      </c>
    </row>
    <row r="23" spans="1:53" ht="15" customHeight="1" x14ac:dyDescent="0.3">
      <c r="A23" s="41"/>
      <c r="B23" s="41"/>
      <c r="C23" s="41"/>
      <c r="D23" s="41"/>
      <c r="E23" s="42" t="s">
        <v>190</v>
      </c>
      <c r="F23" s="41"/>
      <c r="G23" s="48" t="s">
        <v>179</v>
      </c>
      <c r="H23" s="48"/>
      <c r="I23" s="40">
        <v>0</v>
      </c>
      <c r="J23" s="40">
        <v>0</v>
      </c>
      <c r="K23" s="40">
        <v>0</v>
      </c>
      <c r="L23" s="40">
        <v>0</v>
      </c>
      <c r="M23" s="40">
        <v>0</v>
      </c>
      <c r="N23" s="40">
        <v>-277068.5969624999</v>
      </c>
      <c r="O23" s="40">
        <v>-3141235.2432455239</v>
      </c>
      <c r="P23" s="40">
        <v>-2633962.0195365348</v>
      </c>
      <c r="Q23" s="40">
        <v>-2238745.7196448473</v>
      </c>
      <c r="R23" s="40">
        <v>-3948078.0121895964</v>
      </c>
      <c r="S23" s="40">
        <v>-3503538.7038699933</v>
      </c>
      <c r="T23" s="40">
        <v>-1799472.7152115386</v>
      </c>
      <c r="U23" s="40">
        <v>1909523.8604657762</v>
      </c>
      <c r="V23" s="40">
        <v>7241939.7534120046</v>
      </c>
      <c r="W23" s="40">
        <v>14424290.360098807</v>
      </c>
      <c r="X23" s="40">
        <v>23629219.697251104</v>
      </c>
      <c r="Y23" s="40">
        <v>35209896.395702913</v>
      </c>
      <c r="Z23" s="40">
        <v>51796716.822024696</v>
      </c>
      <c r="AA23" s="40">
        <v>67461929.843927175</v>
      </c>
      <c r="AB23" s="40">
        <v>82879601.013047218</v>
      </c>
      <c r="AC23" s="40">
        <v>98372055.639994919</v>
      </c>
      <c r="AD23" s="40">
        <v>113939525.37296484</v>
      </c>
      <c r="AE23" s="40">
        <v>127941054.42789319</v>
      </c>
      <c r="AF23" s="40">
        <v>140361364.21758002</v>
      </c>
      <c r="AG23" s="40">
        <v>150853746.82766849</v>
      </c>
      <c r="AH23" s="40">
        <v>159544578.50222117</v>
      </c>
      <c r="AI23" s="40">
        <v>166260028.74816123</v>
      </c>
      <c r="AJ23" s="40">
        <v>170823808.56853768</v>
      </c>
      <c r="AK23" s="40">
        <v>173057155.37475711</v>
      </c>
      <c r="AL23" s="40">
        <v>173057155.37475711</v>
      </c>
      <c r="AM23" s="40">
        <v>173057155.37475711</v>
      </c>
      <c r="AN23" s="40">
        <v>173057155.37475711</v>
      </c>
      <c r="AO23" s="40">
        <v>173057155.37475711</v>
      </c>
      <c r="AP23" s="40">
        <v>173057155.37475711</v>
      </c>
      <c r="AQ23" s="40">
        <v>173057155.37475711</v>
      </c>
      <c r="AR23" s="40">
        <v>173057155.37475711</v>
      </c>
      <c r="AS23" s="40">
        <v>173057155.37475711</v>
      </c>
      <c r="AT23" s="40">
        <v>173057155.37475711</v>
      </c>
      <c r="AU23" s="40">
        <v>173057155.37475711</v>
      </c>
      <c r="AV23" s="40">
        <v>173057155.37475711</v>
      </c>
      <c r="AW23" s="40">
        <v>173057155.37475711</v>
      </c>
      <c r="AX23" s="40">
        <v>173057155.37475711</v>
      </c>
      <c r="AY23" s="40">
        <v>173057155.37475711</v>
      </c>
      <c r="AZ23" s="40">
        <v>173057155.37475711</v>
      </c>
      <c r="BA23" s="40">
        <v>173057155.37475711</v>
      </c>
    </row>
    <row r="24" spans="1:53" ht="15" customHeight="1" x14ac:dyDescent="0.3">
      <c r="E24" s="42" t="s">
        <v>191</v>
      </c>
      <c r="F24" s="41"/>
      <c r="G24" s="48" t="s">
        <v>148</v>
      </c>
      <c r="H24" s="166">
        <v>8</v>
      </c>
      <c r="T24" s="16"/>
    </row>
    <row r="25" spans="1:53" ht="15" customHeight="1" x14ac:dyDescent="0.3">
      <c r="I25" s="167">
        <v>0</v>
      </c>
      <c r="J25" s="167">
        <v>0</v>
      </c>
      <c r="K25" s="167">
        <v>0</v>
      </c>
      <c r="L25" s="167">
        <v>0</v>
      </c>
      <c r="M25" s="167">
        <v>0</v>
      </c>
      <c r="N25" s="167">
        <v>-277068.5969624999</v>
      </c>
      <c r="O25" s="167">
        <v>-3141235.2432455239</v>
      </c>
      <c r="P25" s="167">
        <v>-2633962.0195365343</v>
      </c>
      <c r="Q25" s="167">
        <v>-2238745.7196448473</v>
      </c>
      <c r="R25" s="167">
        <v>-3948078.012189596</v>
      </c>
      <c r="S25" s="167">
        <v>-3503538.7038699919</v>
      </c>
      <c r="T25" s="167">
        <v>-1799472.7152115367</v>
      </c>
      <c r="U25" s="167">
        <v>1909523.8604657762</v>
      </c>
      <c r="V25" s="167">
        <v>7241939.7534120083</v>
      </c>
      <c r="W25" s="167">
        <v>14424290.360098809</v>
      </c>
      <c r="X25" s="167">
        <v>23629219.697251111</v>
      </c>
      <c r="Y25" s="167">
        <v>35209896.395702921</v>
      </c>
      <c r="Z25" s="167">
        <v>51796716.822024703</v>
      </c>
      <c r="AA25" s="167">
        <v>67461929.843927175</v>
      </c>
      <c r="AB25" s="167">
        <v>82879601.013047218</v>
      </c>
      <c r="AC25" s="167">
        <v>98372055.639994919</v>
      </c>
      <c r="AD25" s="167">
        <v>113939525.37296484</v>
      </c>
      <c r="AE25" s="167">
        <v>127941054.42789319</v>
      </c>
      <c r="AF25" s="167">
        <v>140361364.21758002</v>
      </c>
      <c r="AG25" s="167">
        <v>150853746.82766846</v>
      </c>
      <c r="AH25" s="167">
        <v>159544578.50222114</v>
      </c>
      <c r="AI25" s="167">
        <v>166260028.7481612</v>
      </c>
      <c r="AJ25" s="167">
        <v>170823808.56853762</v>
      </c>
      <c r="AK25" s="167">
        <v>173057155.37475705</v>
      </c>
      <c r="AL25" s="167">
        <v>173057155.37475705</v>
      </c>
      <c r="AM25" s="167">
        <v>173057155.37475705</v>
      </c>
      <c r="AN25" s="167">
        <v>173057155.37475705</v>
      </c>
      <c r="AO25" s="167">
        <v>173057155.37475705</v>
      </c>
      <c r="AP25" s="167">
        <v>173057155.37475705</v>
      </c>
      <c r="AQ25" s="167">
        <v>173057155.37475705</v>
      </c>
      <c r="AR25" s="167">
        <v>173057155.37475705</v>
      </c>
      <c r="AS25" s="167">
        <v>173057155.37475705</v>
      </c>
      <c r="AT25" s="167">
        <v>173057155.37475705</v>
      </c>
      <c r="AU25" s="167">
        <v>173057155.37475705</v>
      </c>
      <c r="AV25" s="167">
        <v>173057155.37475705</v>
      </c>
      <c r="AW25" s="167">
        <v>173057155.37475705</v>
      </c>
      <c r="AX25" s="167">
        <v>173057155.37475705</v>
      </c>
      <c r="AY25" s="167">
        <v>173057155.37475705</v>
      </c>
      <c r="AZ25" s="167">
        <v>173057155.37475705</v>
      </c>
      <c r="BA25" s="167">
        <v>173057155.37475705</v>
      </c>
    </row>
    <row r="26" spans="1:53" ht="15" customHeight="1" x14ac:dyDescent="0.3">
      <c r="I26" s="167">
        <v>0</v>
      </c>
      <c r="J26" s="167">
        <v>0</v>
      </c>
      <c r="K26" s="167">
        <v>0</v>
      </c>
      <c r="L26" s="167">
        <v>0</v>
      </c>
      <c r="M26" s="167">
        <v>0</v>
      </c>
      <c r="N26" s="167">
        <v>1</v>
      </c>
      <c r="O26" s="167">
        <v>1</v>
      </c>
      <c r="P26" s="167">
        <v>1</v>
      </c>
      <c r="Q26" s="167">
        <v>1</v>
      </c>
      <c r="R26" s="167">
        <v>1</v>
      </c>
      <c r="S26" s="167">
        <v>1</v>
      </c>
      <c r="T26" s="167">
        <v>1</v>
      </c>
      <c r="U26" s="167">
        <v>1</v>
      </c>
      <c r="V26" s="167">
        <v>1</v>
      </c>
      <c r="W26" s="167">
        <v>1</v>
      </c>
      <c r="X26" s="167">
        <v>1</v>
      </c>
      <c r="Y26" s="167">
        <v>1</v>
      </c>
      <c r="Z26" s="167">
        <v>1</v>
      </c>
      <c r="AA26" s="167">
        <v>1</v>
      </c>
      <c r="AB26" s="167">
        <v>1</v>
      </c>
      <c r="AC26" s="167">
        <v>1</v>
      </c>
      <c r="AD26" s="167">
        <v>1</v>
      </c>
      <c r="AE26" s="167">
        <v>1</v>
      </c>
      <c r="AF26" s="167">
        <v>1</v>
      </c>
      <c r="AG26" s="167">
        <v>1</v>
      </c>
      <c r="AH26" s="167">
        <v>1</v>
      </c>
      <c r="AI26" s="167">
        <v>1</v>
      </c>
      <c r="AJ26" s="167">
        <v>1</v>
      </c>
      <c r="AK26" s="167">
        <v>1</v>
      </c>
      <c r="AL26" s="167">
        <v>0</v>
      </c>
      <c r="AM26" s="167">
        <v>0</v>
      </c>
      <c r="AN26" s="167">
        <v>0</v>
      </c>
      <c r="AO26" s="167">
        <v>0</v>
      </c>
      <c r="AP26" s="167">
        <v>0</v>
      </c>
      <c r="AQ26" s="167">
        <v>0</v>
      </c>
      <c r="AR26" s="167">
        <v>0</v>
      </c>
      <c r="AS26" s="167">
        <v>0</v>
      </c>
      <c r="AT26" s="167">
        <v>0</v>
      </c>
      <c r="AU26" s="167">
        <v>0</v>
      </c>
      <c r="AV26" s="167">
        <v>0</v>
      </c>
      <c r="AW26" s="167">
        <v>0</v>
      </c>
      <c r="AX26" s="167">
        <v>0</v>
      </c>
      <c r="AY26" s="167">
        <v>0</v>
      </c>
      <c r="AZ26" s="167">
        <v>0</v>
      </c>
      <c r="BA26" s="167">
        <v>0</v>
      </c>
    </row>
    <row r="27" spans="1:53" ht="15" customHeight="1" x14ac:dyDescent="0.3"/>
    <row r="28" spans="1:53" ht="15" customHeight="1" x14ac:dyDescent="0.3"/>
    <row r="29" spans="1:53" ht="15" customHeight="1" x14ac:dyDescent="0.3"/>
    <row r="30" spans="1:53" ht="15" customHeight="1" x14ac:dyDescent="0.3"/>
    <row r="31" spans="1:53" ht="15" customHeight="1" x14ac:dyDescent="0.3"/>
    <row r="32" spans="1:53"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5"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row r="60" ht="15" customHeight="1" x14ac:dyDescent="0.3"/>
    <row r="61" ht="15" customHeight="1" x14ac:dyDescent="0.3"/>
    <row r="62" ht="15" customHeight="1" x14ac:dyDescent="0.3"/>
    <row r="63" ht="15" customHeight="1" x14ac:dyDescent="0.3"/>
    <row r="64" ht="15" customHeight="1" x14ac:dyDescent="0.3"/>
    <row r="65" ht="15" customHeight="1" x14ac:dyDescent="0.3"/>
    <row r="66" ht="15" customHeight="1" x14ac:dyDescent="0.3"/>
    <row r="67" ht="15" customHeight="1" x14ac:dyDescent="0.3"/>
    <row r="68" ht="15" customHeight="1" x14ac:dyDescent="0.3"/>
    <row r="69" ht="15" customHeight="1" x14ac:dyDescent="0.3"/>
    <row r="70" ht="15" customHeight="1" x14ac:dyDescent="0.3"/>
    <row r="71" ht="15" customHeight="1" x14ac:dyDescent="0.3"/>
    <row r="72" ht="15" customHeight="1" x14ac:dyDescent="0.3"/>
    <row r="73" ht="15" customHeight="1" x14ac:dyDescent="0.3"/>
    <row r="74" ht="15" customHeight="1" x14ac:dyDescent="0.3"/>
    <row r="75" ht="15" customHeight="1" x14ac:dyDescent="0.3"/>
    <row r="76" ht="15" customHeight="1" x14ac:dyDescent="0.3"/>
    <row r="77" ht="15" customHeight="1" x14ac:dyDescent="0.3"/>
    <row r="78" ht="15" customHeight="1" x14ac:dyDescent="0.3"/>
    <row r="79" ht="15" customHeight="1" x14ac:dyDescent="0.3"/>
    <row r="80" ht="15" customHeight="1" x14ac:dyDescent="0.3"/>
    <row r="81" ht="15" customHeight="1" x14ac:dyDescent="0.3"/>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theme="6" tint="-0.249977111117893"/>
  </sheetPr>
  <dimension ref="A1:CA92"/>
  <sheetViews>
    <sheetView zoomScaleNormal="100" workbookViewId="0">
      <pane xSplit="8" ySplit="4" topLeftCell="I5" activePane="bottomRight" state="frozen"/>
      <selection pane="topRight" activeCell="E24" sqref="A24:XFD25"/>
      <selection pane="bottomLeft" activeCell="E24" sqref="A24:XFD25"/>
      <selection pane="bottomRight" activeCell="O10" sqref="O10"/>
    </sheetView>
  </sheetViews>
  <sheetFormatPr defaultColWidth="0" defaultRowHeight="15" customHeight="1" zeroHeight="1" x14ac:dyDescent="0.3"/>
  <cols>
    <col min="1" max="4" width="1.5546875" style="2" customWidth="1"/>
    <col min="5" max="5" width="40.5546875" style="2" customWidth="1"/>
    <col min="6" max="6" width="12.5546875" style="2" customWidth="1"/>
    <col min="7" max="7" width="20.5546875" style="2" customWidth="1"/>
    <col min="8" max="8" width="22.5546875" style="2" customWidth="1"/>
    <col min="9" max="53" width="11.5546875" style="2" customWidth="1"/>
    <col min="54" max="54" width="5.5546875" style="2" customWidth="1"/>
    <col min="55" max="79" width="0" style="2" hidden="1" customWidth="1"/>
    <col min="80" max="16384" width="9.44140625" style="2" hidden="1"/>
  </cols>
  <sheetData>
    <row r="1" spans="5:54" ht="5.25" customHeight="1" x14ac:dyDescent="0.3"/>
    <row r="2" spans="5:54" ht="14.4" x14ac:dyDescent="0.3">
      <c r="G2" s="35" t="s">
        <v>172</v>
      </c>
      <c r="H2" s="35"/>
      <c r="I2" s="31">
        <v>2019</v>
      </c>
      <c r="J2" s="31">
        <v>2020</v>
      </c>
      <c r="K2" s="31">
        <v>2021</v>
      </c>
      <c r="L2" s="31">
        <v>2022</v>
      </c>
      <c r="M2" s="31">
        <v>2023</v>
      </c>
      <c r="N2" s="31">
        <v>2024</v>
      </c>
      <c r="O2" s="31">
        <v>2025</v>
      </c>
      <c r="P2" s="31">
        <v>2026</v>
      </c>
      <c r="Q2" s="31">
        <v>2027</v>
      </c>
      <c r="R2" s="31">
        <v>2028</v>
      </c>
      <c r="S2" s="31">
        <v>2029</v>
      </c>
      <c r="T2" s="31">
        <v>2030</v>
      </c>
      <c r="U2" s="31">
        <v>2031</v>
      </c>
      <c r="V2" s="31">
        <v>2032</v>
      </c>
      <c r="W2" s="31">
        <v>2033</v>
      </c>
      <c r="X2" s="31">
        <v>2034</v>
      </c>
      <c r="Y2" s="31">
        <v>2035</v>
      </c>
      <c r="Z2" s="31">
        <v>2036</v>
      </c>
      <c r="AA2" s="31">
        <v>2037</v>
      </c>
      <c r="AB2" s="31">
        <v>2038</v>
      </c>
      <c r="AC2" s="31">
        <v>2039</v>
      </c>
      <c r="AD2" s="31">
        <v>2040</v>
      </c>
      <c r="AE2" s="31">
        <v>2041</v>
      </c>
      <c r="AF2" s="31">
        <v>2042</v>
      </c>
      <c r="AG2" s="31">
        <v>2043</v>
      </c>
      <c r="AH2" s="31">
        <v>2044</v>
      </c>
      <c r="AI2" s="31">
        <v>2045</v>
      </c>
      <c r="AJ2" s="31">
        <v>2046</v>
      </c>
      <c r="AK2" s="31">
        <v>2047</v>
      </c>
      <c r="AL2" s="31">
        <v>2048</v>
      </c>
      <c r="AM2" s="31">
        <v>2049</v>
      </c>
      <c r="AN2" s="31">
        <v>2050</v>
      </c>
      <c r="AO2" s="31">
        <v>2051</v>
      </c>
      <c r="AP2" s="31">
        <v>2052</v>
      </c>
      <c r="AQ2" s="31">
        <v>2053</v>
      </c>
      <c r="AR2" s="31">
        <v>2054</v>
      </c>
      <c r="AS2" s="31">
        <v>2055</v>
      </c>
      <c r="AT2" s="31">
        <v>2056</v>
      </c>
      <c r="AU2" s="31">
        <v>2057</v>
      </c>
      <c r="AV2" s="31">
        <v>2058</v>
      </c>
      <c r="AW2" s="31">
        <v>2059</v>
      </c>
      <c r="AX2" s="31">
        <v>2060</v>
      </c>
      <c r="AY2" s="31">
        <v>2061</v>
      </c>
      <c r="AZ2" s="31">
        <v>2062</v>
      </c>
      <c r="BA2" s="31">
        <v>2063</v>
      </c>
    </row>
    <row r="3" spans="5:54" ht="14.4" x14ac:dyDescent="0.3">
      <c r="E3" s="19" t="s">
        <v>169</v>
      </c>
      <c r="G3" s="35"/>
      <c r="H3" s="35"/>
      <c r="I3" s="139">
        <v>1</v>
      </c>
      <c r="J3" s="139">
        <v>1</v>
      </c>
      <c r="K3" s="139">
        <v>1</v>
      </c>
      <c r="L3" s="139">
        <v>1</v>
      </c>
      <c r="M3" s="139">
        <v>1</v>
      </c>
      <c r="N3" s="139">
        <v>1</v>
      </c>
      <c r="O3" s="139">
        <v>1</v>
      </c>
      <c r="P3" s="139">
        <v>0.96993210475266745</v>
      </c>
      <c r="Q3" s="139">
        <v>0.94076828782993938</v>
      </c>
      <c r="R3" s="139">
        <v>0.91248136549945624</v>
      </c>
      <c r="S3" s="139">
        <v>0.88504497138647553</v>
      </c>
      <c r="T3" s="139">
        <v>0.85843353189764848</v>
      </c>
      <c r="U3" s="139">
        <v>0.83262224238375215</v>
      </c>
      <c r="V3" s="139">
        <v>0.80758704401915837</v>
      </c>
      <c r="W3" s="139">
        <v>0.78330460137648728</v>
      </c>
      <c r="X3" s="139">
        <v>0.75975228067554545</v>
      </c>
      <c r="Y3" s="139">
        <v>0.73690812868627109</v>
      </c>
      <c r="Z3" s="139">
        <v>0.71475085226602442</v>
      </c>
      <c r="AA3" s="139">
        <v>0.69325979851214781</v>
      </c>
      <c r="AB3" s="139">
        <v>0.67241493551129761</v>
      </c>
      <c r="AC3" s="139">
        <v>0.65219683366760206</v>
      </c>
      <c r="AD3" s="139">
        <v>0.63258664759224259</v>
      </c>
      <c r="AE3" s="139">
        <v>0.6135660985375776</v>
      </c>
      <c r="AF3" s="139">
        <v>0.59511745735943511</v>
      </c>
      <c r="AG3" s="139">
        <v>0.57722352799169274</v>
      </c>
      <c r="AH3" s="139">
        <v>0.55986763141774276</v>
      </c>
      <c r="AI3" s="139">
        <v>0.54303359012390184</v>
      </c>
      <c r="AJ3" s="139">
        <v>0.52670571302027336</v>
      </c>
      <c r="AK3" s="139">
        <v>0.51086878081500819</v>
      </c>
      <c r="AL3" s="139">
        <v>0.49550803182832992</v>
      </c>
      <c r="AM3" s="139">
        <v>0.4806091482331038</v>
      </c>
      <c r="AN3" s="139">
        <v>0.46615824270912104</v>
      </c>
      <c r="AO3" s="139">
        <v>0.4521418454986626</v>
      </c>
      <c r="AP3" s="139">
        <v>0.4385468918512731</v>
      </c>
      <c r="AQ3" s="139">
        <v>0.42536070984604568</v>
      </c>
      <c r="AR3" s="139">
        <v>0.41257100858006374</v>
      </c>
      <c r="AS3" s="139">
        <v>0.400165866711992</v>
      </c>
      <c r="AT3" s="139">
        <v>0.38813372135013779</v>
      </c>
      <c r="AU3" s="139">
        <v>0.37646335727462438</v>
      </c>
      <c r="AV3" s="139">
        <v>0.36514389648363188</v>
      </c>
      <c r="AW3" s="139">
        <v>0.35416478805395912</v>
      </c>
      <c r="AX3" s="139">
        <v>0.34351579830645895</v>
      </c>
      <c r="AY3" s="139">
        <v>0.33318700126717649</v>
      </c>
      <c r="AZ3" s="139">
        <v>0.32316876941530209</v>
      </c>
      <c r="BA3" s="139">
        <v>0.31345176470931341</v>
      </c>
    </row>
    <row r="4" spans="5:54" ht="15" customHeight="1" x14ac:dyDescent="0.3">
      <c r="E4" s="19" t="s">
        <v>165</v>
      </c>
      <c r="F4" s="19">
        <v>2025</v>
      </c>
      <c r="G4" s="15" t="s">
        <v>166</v>
      </c>
      <c r="H4" s="15"/>
      <c r="I4" s="15">
        <v>0</v>
      </c>
      <c r="J4" s="15">
        <v>0</v>
      </c>
      <c r="K4" s="15">
        <v>0</v>
      </c>
      <c r="L4" s="15">
        <v>0</v>
      </c>
      <c r="M4" s="15">
        <v>0</v>
      </c>
      <c r="N4" s="15">
        <v>1</v>
      </c>
      <c r="O4" s="15">
        <v>1</v>
      </c>
      <c r="P4" s="15">
        <v>1</v>
      </c>
      <c r="Q4" s="15">
        <v>1</v>
      </c>
      <c r="R4" s="15">
        <v>1</v>
      </c>
      <c r="S4" s="15">
        <v>1</v>
      </c>
      <c r="T4" s="15">
        <v>1</v>
      </c>
      <c r="U4" s="15">
        <v>1</v>
      </c>
      <c r="V4" s="15">
        <v>1</v>
      </c>
      <c r="W4" s="15">
        <v>1</v>
      </c>
      <c r="X4" s="15">
        <v>1</v>
      </c>
      <c r="Y4" s="15">
        <v>1</v>
      </c>
      <c r="Z4" s="15">
        <v>1</v>
      </c>
      <c r="AA4" s="15">
        <v>1</v>
      </c>
      <c r="AB4" s="15">
        <v>1</v>
      </c>
      <c r="AC4" s="15">
        <v>1</v>
      </c>
      <c r="AD4" s="15">
        <v>1</v>
      </c>
      <c r="AE4" s="15">
        <v>1</v>
      </c>
      <c r="AF4" s="15">
        <v>1</v>
      </c>
      <c r="AG4" s="15">
        <v>1</v>
      </c>
      <c r="AH4" s="15">
        <v>1</v>
      </c>
      <c r="AI4" s="15">
        <v>1</v>
      </c>
      <c r="AJ4" s="15">
        <v>1</v>
      </c>
      <c r="AK4" s="15">
        <v>1</v>
      </c>
      <c r="AL4" s="15">
        <v>0</v>
      </c>
      <c r="AM4" s="15">
        <v>0</v>
      </c>
      <c r="AN4" s="15">
        <v>0</v>
      </c>
      <c r="AO4" s="15">
        <v>0</v>
      </c>
      <c r="AP4" s="15">
        <v>0</v>
      </c>
      <c r="AQ4" s="15">
        <v>0</v>
      </c>
      <c r="AR4" s="15">
        <v>0</v>
      </c>
      <c r="AS4" s="15">
        <v>0</v>
      </c>
      <c r="AT4" s="15">
        <v>0</v>
      </c>
      <c r="AU4" s="15">
        <v>0</v>
      </c>
      <c r="AV4" s="15">
        <v>0</v>
      </c>
      <c r="AW4" s="15">
        <v>0</v>
      </c>
      <c r="AX4" s="15">
        <v>0</v>
      </c>
      <c r="AY4" s="15">
        <v>0</v>
      </c>
      <c r="AZ4" s="15">
        <v>0</v>
      </c>
      <c r="BA4" s="15">
        <v>0</v>
      </c>
    </row>
    <row r="5" spans="5:54" ht="14.4" x14ac:dyDescent="0.3">
      <c r="E5" s="1" t="s">
        <v>141</v>
      </c>
      <c r="F5" s="1" t="s">
        <v>173</v>
      </c>
      <c r="G5" s="36" t="s">
        <v>143</v>
      </c>
      <c r="H5" s="36"/>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row>
    <row r="6" spans="5:54" ht="14.4" x14ac:dyDescent="0.3">
      <c r="E6" s="2" t="s">
        <v>61</v>
      </c>
      <c r="G6" s="54" t="s">
        <v>228</v>
      </c>
      <c r="H6" s="176">
        <v>9235143.3311453182</v>
      </c>
      <c r="I6" s="18">
        <v>0</v>
      </c>
      <c r="J6" s="18">
        <v>0</v>
      </c>
      <c r="K6" s="18">
        <v>0</v>
      </c>
      <c r="L6" s="18">
        <v>0</v>
      </c>
      <c r="M6" s="18">
        <v>0</v>
      </c>
      <c r="N6" s="18">
        <v>0</v>
      </c>
      <c r="O6" s="18">
        <v>10952.796918681817</v>
      </c>
      <c r="P6" s="18">
        <v>31870.408104796759</v>
      </c>
      <c r="Q6" s="18">
        <v>30912.132012411988</v>
      </c>
      <c r="R6" s="18">
        <v>29982.669265191067</v>
      </c>
      <c r="S6" s="18">
        <v>126018.33186145616</v>
      </c>
      <c r="T6" s="18">
        <v>216251.70729041944</v>
      </c>
      <c r="U6" s="18">
        <v>319183.98157823476</v>
      </c>
      <c r="V6" s="18">
        <v>415730.83370311867</v>
      </c>
      <c r="W6" s="18">
        <v>514762.57346074079</v>
      </c>
      <c r="X6" s="18">
        <v>615784.52046710032</v>
      </c>
      <c r="Y6" s="18">
        <v>718337.25222916517</v>
      </c>
      <c r="Z6" s="18">
        <v>814166.17696174968</v>
      </c>
      <c r="AA6" s="18">
        <v>782092.77985395258</v>
      </c>
      <c r="AB6" s="18">
        <v>743847.24760812102</v>
      </c>
      <c r="AC6" s="18">
        <v>721481.32648702338</v>
      </c>
      <c r="AD6" s="18">
        <v>699787.90153930499</v>
      </c>
      <c r="AE6" s="18">
        <v>611544.10348577041</v>
      </c>
      <c r="AF6" s="18">
        <v>527974.25291083439</v>
      </c>
      <c r="AG6" s="18">
        <v>436232.63343568606</v>
      </c>
      <c r="AH6" s="18">
        <v>349530.63869093056</v>
      </c>
      <c r="AI6" s="18">
        <v>261700.41183659108</v>
      </c>
      <c r="AJ6" s="18">
        <v>173067.02131861678</v>
      </c>
      <c r="AK6" s="18">
        <v>83931.630125420372</v>
      </c>
      <c r="AL6" s="18">
        <v>0</v>
      </c>
      <c r="AM6" s="18">
        <v>0</v>
      </c>
      <c r="AN6" s="18">
        <v>0</v>
      </c>
      <c r="AO6" s="18">
        <v>0</v>
      </c>
      <c r="AP6" s="18">
        <v>0</v>
      </c>
      <c r="AQ6" s="18">
        <v>0</v>
      </c>
      <c r="AR6" s="18">
        <v>0</v>
      </c>
      <c r="AS6" s="18">
        <v>0</v>
      </c>
      <c r="AT6" s="18">
        <v>0</v>
      </c>
      <c r="AU6" s="18">
        <v>0</v>
      </c>
      <c r="AV6" s="18">
        <v>0</v>
      </c>
      <c r="AW6" s="18">
        <v>0</v>
      </c>
      <c r="AX6" s="18">
        <v>0</v>
      </c>
      <c r="AY6" s="18">
        <v>0</v>
      </c>
      <c r="AZ6" s="18">
        <v>0</v>
      </c>
      <c r="BA6" s="18">
        <v>0</v>
      </c>
    </row>
    <row r="7" spans="5:54" ht="14.4" x14ac:dyDescent="0.3">
      <c r="E7" s="2" t="s">
        <v>174</v>
      </c>
      <c r="G7" s="54" t="s">
        <v>228</v>
      </c>
      <c r="H7" s="176">
        <v>9493954.7225537002</v>
      </c>
      <c r="I7" s="18">
        <v>0</v>
      </c>
      <c r="J7" s="18">
        <v>0</v>
      </c>
      <c r="K7" s="18">
        <v>0</v>
      </c>
      <c r="L7" s="18">
        <v>0</v>
      </c>
      <c r="M7" s="18">
        <v>0</v>
      </c>
      <c r="N7" s="18">
        <v>0</v>
      </c>
      <c r="O7" s="18">
        <v>11259.744900829261</v>
      </c>
      <c r="P7" s="18">
        <v>32763.564211918318</v>
      </c>
      <c r="Q7" s="18">
        <v>31778.432795265104</v>
      </c>
      <c r="R7" s="18">
        <v>30822.922206852669</v>
      </c>
      <c r="S7" s="18">
        <v>129549.9478464548</v>
      </c>
      <c r="T7" s="18">
        <v>222312.0794201642</v>
      </c>
      <c r="U7" s="18">
        <v>328128.99167991173</v>
      </c>
      <c r="V7" s="18">
        <v>427381.53274091333</v>
      </c>
      <c r="W7" s="18">
        <v>529188.59946870001</v>
      </c>
      <c r="X7" s="18">
        <v>633041.64824901067</v>
      </c>
      <c r="Y7" s="18">
        <v>738468.38144758379</v>
      </c>
      <c r="Z7" s="18">
        <v>836982.87547323655</v>
      </c>
      <c r="AA7" s="18">
        <v>804010.63356844895</v>
      </c>
      <c r="AB7" s="18">
        <v>764693.28477784165</v>
      </c>
      <c r="AC7" s="18">
        <v>741700.56719480292</v>
      </c>
      <c r="AD7" s="18">
        <v>719399.19223550241</v>
      </c>
      <c r="AE7" s="18">
        <v>628682.39518904756</v>
      </c>
      <c r="AF7" s="18">
        <v>542770.53122768726</v>
      </c>
      <c r="AG7" s="18">
        <v>448457.88764007646</v>
      </c>
      <c r="AH7" s="18">
        <v>359326.10235573119</v>
      </c>
      <c r="AI7" s="18">
        <v>269034.46668457089</v>
      </c>
      <c r="AJ7" s="18">
        <v>177917.15899252988</v>
      </c>
      <c r="AK7" s="18">
        <v>86283.782246619739</v>
      </c>
      <c r="AL7" s="18">
        <v>0</v>
      </c>
      <c r="AM7" s="18">
        <v>0</v>
      </c>
      <c r="AN7" s="18">
        <v>0</v>
      </c>
      <c r="AO7" s="18">
        <v>0</v>
      </c>
      <c r="AP7" s="18">
        <v>0</v>
      </c>
      <c r="AQ7" s="18">
        <v>0</v>
      </c>
      <c r="AR7" s="18">
        <v>0</v>
      </c>
      <c r="AS7" s="18">
        <v>0</v>
      </c>
      <c r="AT7" s="18">
        <v>0</v>
      </c>
      <c r="AU7" s="18">
        <v>0</v>
      </c>
      <c r="AV7" s="18">
        <v>0</v>
      </c>
      <c r="AW7" s="18">
        <v>0</v>
      </c>
      <c r="AX7" s="18">
        <v>0</v>
      </c>
      <c r="AY7" s="18">
        <v>0</v>
      </c>
      <c r="AZ7" s="18">
        <v>0</v>
      </c>
      <c r="BA7" s="18">
        <v>0</v>
      </c>
      <c r="BB7" s="18">
        <v>0</v>
      </c>
    </row>
    <row r="8" spans="5:54" ht="14.4" x14ac:dyDescent="0.3">
      <c r="E8" s="2" t="s">
        <v>175</v>
      </c>
      <c r="G8" s="54" t="s">
        <v>228</v>
      </c>
      <c r="H8" s="176">
        <v>540545.7222472782</v>
      </c>
      <c r="I8" s="18">
        <v>0</v>
      </c>
      <c r="J8" s="18">
        <v>0</v>
      </c>
      <c r="K8" s="18">
        <v>0</v>
      </c>
      <c r="L8" s="18">
        <v>0</v>
      </c>
      <c r="M8" s="18">
        <v>0</v>
      </c>
      <c r="N8" s="18">
        <v>0</v>
      </c>
      <c r="O8" s="18">
        <v>648.77386142307705</v>
      </c>
      <c r="P8" s="18">
        <v>1887.7997907558017</v>
      </c>
      <c r="Q8" s="18">
        <v>1831.0376243994199</v>
      </c>
      <c r="R8" s="18">
        <v>1775.9821769150533</v>
      </c>
      <c r="S8" s="18">
        <v>7464.5225670532454</v>
      </c>
      <c r="T8" s="18">
        <v>12809.372457078614</v>
      </c>
      <c r="U8" s="18">
        <v>18906.424155431683</v>
      </c>
      <c r="V8" s="18">
        <v>24625.244154227224</v>
      </c>
      <c r="W8" s="18">
        <v>30491.253054329267</v>
      </c>
      <c r="X8" s="18">
        <v>36475.149143555871</v>
      </c>
      <c r="Y8" s="18">
        <v>42549.719162404283</v>
      </c>
      <c r="Z8" s="18">
        <v>48226.013719526651</v>
      </c>
      <c r="AA8" s="18">
        <v>45385.377539619156</v>
      </c>
      <c r="AB8" s="18">
        <v>43165.963213220588</v>
      </c>
      <c r="AC8" s="18">
        <v>41868.05355307526</v>
      </c>
      <c r="AD8" s="18">
        <v>40609.16930463168</v>
      </c>
      <c r="AE8" s="18">
        <v>35488.321505809829</v>
      </c>
      <c r="AF8" s="18">
        <v>30638.706067624476</v>
      </c>
      <c r="AG8" s="18">
        <v>25314.877305577575</v>
      </c>
      <c r="AH8" s="18">
        <v>20283.501404544932</v>
      </c>
      <c r="AI8" s="18">
        <v>15186.653424540598</v>
      </c>
      <c r="AJ8" s="18">
        <v>10043.197309236793</v>
      </c>
      <c r="AK8" s="18">
        <v>4870.6097522971841</v>
      </c>
      <c r="AL8" s="18">
        <v>0</v>
      </c>
      <c r="AM8" s="18">
        <v>0</v>
      </c>
      <c r="AN8" s="18">
        <v>0</v>
      </c>
      <c r="AO8" s="18">
        <v>0</v>
      </c>
      <c r="AP8" s="18">
        <v>0</v>
      </c>
      <c r="AQ8" s="18">
        <v>0</v>
      </c>
      <c r="AR8" s="18">
        <v>0</v>
      </c>
      <c r="AS8" s="18">
        <v>0</v>
      </c>
      <c r="AT8" s="18">
        <v>0</v>
      </c>
      <c r="AU8" s="18">
        <v>0</v>
      </c>
      <c r="AV8" s="18">
        <v>0</v>
      </c>
      <c r="AW8" s="18">
        <v>0</v>
      </c>
      <c r="AX8" s="18">
        <v>0</v>
      </c>
      <c r="AY8" s="18">
        <v>0</v>
      </c>
      <c r="AZ8" s="18">
        <v>0</v>
      </c>
      <c r="BA8" s="18">
        <v>0</v>
      </c>
    </row>
    <row r="9" spans="5:54" ht="14.4" x14ac:dyDescent="0.3">
      <c r="E9" s="2" t="s">
        <v>62</v>
      </c>
      <c r="G9" s="54" t="s">
        <v>228</v>
      </c>
      <c r="H9" s="176">
        <v>3741888.5741062108</v>
      </c>
      <c r="I9" s="18">
        <v>0</v>
      </c>
      <c r="J9" s="18">
        <v>0</v>
      </c>
      <c r="K9" s="18">
        <v>0</v>
      </c>
      <c r="L9" s="18">
        <v>0</v>
      </c>
      <c r="M9" s="18">
        <v>0</v>
      </c>
      <c r="N9" s="18">
        <v>0</v>
      </c>
      <c r="O9" s="18">
        <v>12079.082071589191</v>
      </c>
      <c r="P9" s="18">
        <v>35147.668491530145</v>
      </c>
      <c r="Q9" s="18">
        <v>34090.852077138843</v>
      </c>
      <c r="R9" s="18">
        <v>33065.811907991119</v>
      </c>
      <c r="S9" s="18">
        <v>138976.9010035191</v>
      </c>
      <c r="T9" s="18">
        <v>238489.04895030512</v>
      </c>
      <c r="U9" s="18">
        <v>352005.93401343899</v>
      </c>
      <c r="V9" s="18">
        <v>341421.85646308342</v>
      </c>
      <c r="W9" s="18">
        <v>331156.0198478016</v>
      </c>
      <c r="X9" s="18">
        <v>321198.85533249431</v>
      </c>
      <c r="Y9" s="18">
        <v>311541.08179679373</v>
      </c>
      <c r="Z9" s="18">
        <v>302173.69718408707</v>
      </c>
      <c r="AA9" s="18">
        <v>284714.02810749516</v>
      </c>
      <c r="AB9" s="18">
        <v>259908.96615050614</v>
      </c>
      <c r="AC9" s="18">
        <v>252094.05058245023</v>
      </c>
      <c r="AD9" s="18">
        <v>244514.11307706137</v>
      </c>
      <c r="AE9" s="18">
        <v>163048.93573276399</v>
      </c>
      <c r="AF9" s="18">
        <v>86261.67131616117</v>
      </c>
      <c r="AG9" s="18">
        <v>0</v>
      </c>
      <c r="AH9" s="18">
        <v>0</v>
      </c>
      <c r="AI9" s="18">
        <v>0</v>
      </c>
      <c r="AJ9" s="18">
        <v>0</v>
      </c>
      <c r="AK9" s="18">
        <v>0</v>
      </c>
      <c r="AL9" s="18">
        <v>0</v>
      </c>
      <c r="AM9" s="18">
        <v>0</v>
      </c>
      <c r="AN9" s="18">
        <v>0</v>
      </c>
      <c r="AO9" s="18">
        <v>0</v>
      </c>
      <c r="AP9" s="18">
        <v>0</v>
      </c>
      <c r="AQ9" s="18">
        <v>0</v>
      </c>
      <c r="AR9" s="18">
        <v>0</v>
      </c>
      <c r="AS9" s="18">
        <v>0</v>
      </c>
      <c r="AT9" s="18">
        <v>0</v>
      </c>
      <c r="AU9" s="18">
        <v>0</v>
      </c>
      <c r="AV9" s="18">
        <v>0</v>
      </c>
      <c r="AW9" s="18">
        <v>0</v>
      </c>
      <c r="AX9" s="18">
        <v>0</v>
      </c>
      <c r="AY9" s="18">
        <v>0</v>
      </c>
      <c r="AZ9" s="18">
        <v>0</v>
      </c>
      <c r="BA9" s="18">
        <v>0</v>
      </c>
    </row>
    <row r="10" spans="5:54" ht="14.4" x14ac:dyDescent="0.3">
      <c r="E10" s="2" t="s">
        <v>181</v>
      </c>
      <c r="G10" s="54" t="s">
        <v>228</v>
      </c>
      <c r="H10" s="176">
        <v>58856502.692482054</v>
      </c>
      <c r="I10" s="18">
        <v>0</v>
      </c>
      <c r="J10" s="18">
        <v>0</v>
      </c>
      <c r="K10" s="18">
        <v>0</v>
      </c>
      <c r="L10" s="18">
        <v>0</v>
      </c>
      <c r="M10" s="18">
        <v>0</v>
      </c>
      <c r="N10" s="18">
        <v>0</v>
      </c>
      <c r="O10" s="18">
        <v>65548.862959274338</v>
      </c>
      <c r="P10" s="18">
        <v>191687.50904191282</v>
      </c>
      <c r="Q10" s="18">
        <v>186853.48844531749</v>
      </c>
      <c r="R10" s="18">
        <v>182141.37331478571</v>
      </c>
      <c r="S10" s="18">
        <v>769375.05410852726</v>
      </c>
      <c r="T10" s="18">
        <v>1326874.9067909133</v>
      </c>
      <c r="U10" s="18">
        <v>1968237.8799127215</v>
      </c>
      <c r="V10" s="18">
        <v>2576408.9305162099</v>
      </c>
      <c r="W10" s="18">
        <v>3206089.0791862346</v>
      </c>
      <c r="X10" s="18">
        <v>3854459.1790992618</v>
      </c>
      <c r="Y10" s="18">
        <v>4518862.5747048706</v>
      </c>
      <c r="Z10" s="18">
        <v>5147304.5293448381</v>
      </c>
      <c r="AA10" s="18">
        <v>4969253.4167269524</v>
      </c>
      <c r="AB10" s="18">
        <v>4749880.5765433619</v>
      </c>
      <c r="AC10" s="18">
        <v>4630096.9732551686</v>
      </c>
      <c r="AD10" s="18">
        <v>4513334.1009907322</v>
      </c>
      <c r="AE10" s="18">
        <v>3963920.1602414958</v>
      </c>
      <c r="AF10" s="18">
        <v>3439346.4218507465</v>
      </c>
      <c r="AG10" s="18">
        <v>2855928.891083091</v>
      </c>
      <c r="AH10" s="18">
        <v>2299749.5962228156</v>
      </c>
      <c r="AI10" s="18">
        <v>1730476.7496209249</v>
      </c>
      <c r="AJ10" s="18">
        <v>1150116.2596127077</v>
      </c>
      <c r="AK10" s="18">
        <v>560556.17890920071</v>
      </c>
      <c r="AL10" s="18">
        <v>0</v>
      </c>
      <c r="AM10" s="18">
        <v>0</v>
      </c>
      <c r="AN10" s="18">
        <v>0</v>
      </c>
      <c r="AO10" s="18">
        <v>0</v>
      </c>
      <c r="AP10" s="18">
        <v>0</v>
      </c>
      <c r="AQ10" s="18">
        <v>0</v>
      </c>
      <c r="AR10" s="18">
        <v>0</v>
      </c>
      <c r="AS10" s="18">
        <v>0</v>
      </c>
      <c r="AT10" s="18">
        <v>0</v>
      </c>
      <c r="AU10" s="18">
        <v>0</v>
      </c>
      <c r="AV10" s="18">
        <v>0</v>
      </c>
      <c r="AW10" s="18">
        <v>0</v>
      </c>
      <c r="AX10" s="18">
        <v>0</v>
      </c>
      <c r="AY10" s="18">
        <v>0</v>
      </c>
      <c r="AZ10" s="18">
        <v>0</v>
      </c>
      <c r="BA10" s="18">
        <v>0</v>
      </c>
    </row>
    <row r="11" spans="5:54" ht="14.4" x14ac:dyDescent="0.3">
      <c r="E11" s="2" t="s">
        <v>183</v>
      </c>
      <c r="G11" s="54" t="s">
        <v>228</v>
      </c>
      <c r="H11" s="176">
        <v>77050287.201455638</v>
      </c>
      <c r="I11" s="18">
        <v>0</v>
      </c>
      <c r="J11" s="18">
        <v>0</v>
      </c>
      <c r="K11" s="18">
        <v>0</v>
      </c>
      <c r="L11" s="18">
        <v>0</v>
      </c>
      <c r="M11" s="18">
        <v>0</v>
      </c>
      <c r="N11" s="18">
        <v>0</v>
      </c>
      <c r="O11" s="18">
        <v>85811.396968819055</v>
      </c>
      <c r="P11" s="18">
        <v>250942.15505430594</v>
      </c>
      <c r="Q11" s="18">
        <v>244613.83688610807</v>
      </c>
      <c r="R11" s="18">
        <v>238445.10773088122</v>
      </c>
      <c r="S11" s="18">
        <v>1007205.0864868939</v>
      </c>
      <c r="T11" s="18">
        <v>1737039.8846634747</v>
      </c>
      <c r="U11" s="18">
        <v>2576661.659977132</v>
      </c>
      <c r="V11" s="18">
        <v>3372831.1904952149</v>
      </c>
      <c r="W11" s="18">
        <v>4197158.7342770174</v>
      </c>
      <c r="X11" s="18">
        <v>5045953.6868441934</v>
      </c>
      <c r="Y11" s="18">
        <v>5915738.1644661278</v>
      </c>
      <c r="Z11" s="18">
        <v>6738444.7623666301</v>
      </c>
      <c r="AA11" s="18">
        <v>6505354.3010555618</v>
      </c>
      <c r="AB11" s="18">
        <v>6218168.6959464801</v>
      </c>
      <c r="AC11" s="18">
        <v>6061357.4582213517</v>
      </c>
      <c r="AD11" s="18">
        <v>5908500.7230964676</v>
      </c>
      <c r="AE11" s="18">
        <v>5189251.3625220852</v>
      </c>
      <c r="AF11" s="18">
        <v>4502520.8339935653</v>
      </c>
      <c r="AG11" s="18">
        <v>3738756.6576053905</v>
      </c>
      <c r="AH11" s="18">
        <v>3010650.6294848789</v>
      </c>
      <c r="AI11" s="18">
        <v>2265403.5570272659</v>
      </c>
      <c r="AJ11" s="18">
        <v>1505641.4170790063</v>
      </c>
      <c r="AK11" s="18">
        <v>733835.89920679037</v>
      </c>
      <c r="AL11" s="18">
        <v>0</v>
      </c>
      <c r="AM11" s="18">
        <v>0</v>
      </c>
      <c r="AN11" s="18">
        <v>0</v>
      </c>
      <c r="AO11" s="18">
        <v>0</v>
      </c>
      <c r="AP11" s="18">
        <v>0</v>
      </c>
      <c r="AQ11" s="18">
        <v>0</v>
      </c>
      <c r="AR11" s="18">
        <v>0</v>
      </c>
      <c r="AS11" s="18">
        <v>0</v>
      </c>
      <c r="AT11" s="18">
        <v>0</v>
      </c>
      <c r="AU11" s="18">
        <v>0</v>
      </c>
      <c r="AV11" s="18">
        <v>0</v>
      </c>
      <c r="AW11" s="18">
        <v>0</v>
      </c>
      <c r="AX11" s="18">
        <v>0</v>
      </c>
      <c r="AY11" s="18">
        <v>0</v>
      </c>
      <c r="AZ11" s="18">
        <v>0</v>
      </c>
      <c r="BA11" s="18">
        <v>0</v>
      </c>
    </row>
    <row r="12" spans="5:54" ht="14.4" x14ac:dyDescent="0.3">
      <c r="E12" s="2" t="s">
        <v>184</v>
      </c>
      <c r="G12" s="54" t="s">
        <v>228</v>
      </c>
      <c r="H12" s="176">
        <v>710989.12818510295</v>
      </c>
      <c r="I12" s="18">
        <v>0</v>
      </c>
      <c r="J12" s="18">
        <v>0</v>
      </c>
      <c r="K12" s="18">
        <v>0</v>
      </c>
      <c r="L12" s="18">
        <v>0</v>
      </c>
      <c r="M12" s="18">
        <v>0</v>
      </c>
      <c r="N12" s="18">
        <v>0</v>
      </c>
      <c r="O12" s="18">
        <v>42375.197182499993</v>
      </c>
      <c r="P12" s="18">
        <v>41101.064192531521</v>
      </c>
      <c r="Q12" s="18">
        <v>39865.241699836588</v>
      </c>
      <c r="R12" s="18">
        <v>38666.577788396302</v>
      </c>
      <c r="S12" s="18">
        <v>37503.955177881966</v>
      </c>
      <c r="T12" s="18">
        <v>36376.290182232755</v>
      </c>
      <c r="U12" s="18">
        <v>35282.531699546802</v>
      </c>
      <c r="V12" s="18">
        <v>34221.66023234414</v>
      </c>
      <c r="W12" s="18">
        <v>33192.686937288207</v>
      </c>
      <c r="X12" s="18">
        <v>32194.652703480318</v>
      </c>
      <c r="Y12" s="18">
        <v>31226.627258467815</v>
      </c>
      <c r="Z12" s="18">
        <v>30287.708301132705</v>
      </c>
      <c r="AA12" s="18">
        <v>29377.020660652477</v>
      </c>
      <c r="AB12" s="18">
        <v>28493.715480749252</v>
      </c>
      <c r="AC12" s="18">
        <v>27636.969428466786</v>
      </c>
      <c r="AD12" s="18">
        <v>26805.983926737914</v>
      </c>
      <c r="AE12" s="18">
        <v>25999.984410027071</v>
      </c>
      <c r="AF12" s="18">
        <v>25218.219602354093</v>
      </c>
      <c r="AG12" s="18">
        <v>24459.960817026284</v>
      </c>
      <c r="AH12" s="18">
        <v>23724.501277426076</v>
      </c>
      <c r="AI12" s="18">
        <v>23011.155458221223</v>
      </c>
      <c r="AJ12" s="18">
        <v>22319.258446383337</v>
      </c>
      <c r="AK12" s="18">
        <v>21648.165321419343</v>
      </c>
      <c r="AL12" s="18">
        <v>0</v>
      </c>
      <c r="AM12" s="18">
        <v>0</v>
      </c>
      <c r="AN12" s="18">
        <v>0</v>
      </c>
      <c r="AO12" s="18">
        <v>0</v>
      </c>
      <c r="AP12" s="18">
        <v>0</v>
      </c>
      <c r="AQ12" s="18">
        <v>0</v>
      </c>
      <c r="AR12" s="18">
        <v>0</v>
      </c>
      <c r="AS12" s="18">
        <v>0</v>
      </c>
      <c r="AT12" s="18">
        <v>0</v>
      </c>
      <c r="AU12" s="18">
        <v>0</v>
      </c>
      <c r="AV12" s="18">
        <v>0</v>
      </c>
      <c r="AW12" s="18">
        <v>0</v>
      </c>
      <c r="AX12" s="18">
        <v>0</v>
      </c>
      <c r="AY12" s="18">
        <v>0</v>
      </c>
      <c r="AZ12" s="18">
        <v>0</v>
      </c>
      <c r="BA12" s="18">
        <v>0</v>
      </c>
    </row>
    <row r="13" spans="5:54" ht="14.4" x14ac:dyDescent="0.3">
      <c r="E13" s="2" t="s">
        <v>67</v>
      </c>
      <c r="G13" s="54" t="s">
        <v>228</v>
      </c>
      <c r="H13" s="176">
        <v>2181374.0130883125</v>
      </c>
      <c r="I13" s="18">
        <v>0</v>
      </c>
      <c r="J13" s="18">
        <v>0</v>
      </c>
      <c r="K13" s="18">
        <v>0</v>
      </c>
      <c r="L13" s="18">
        <v>0</v>
      </c>
      <c r="M13" s="18">
        <v>0</v>
      </c>
      <c r="N13" s="18">
        <v>0</v>
      </c>
      <c r="O13" s="18">
        <v>26392.419167858756</v>
      </c>
      <c r="P13" s="18">
        <v>51197.709345991774</v>
      </c>
      <c r="Q13" s="18">
        <v>0</v>
      </c>
      <c r="R13" s="18">
        <v>0</v>
      </c>
      <c r="S13" s="18">
        <v>233584.77867237417</v>
      </c>
      <c r="T13" s="18">
        <v>226561.37601588186</v>
      </c>
      <c r="U13" s="18">
        <v>263698.98275369377</v>
      </c>
      <c r="V13" s="18">
        <v>255770.10936342771</v>
      </c>
      <c r="W13" s="18">
        <v>268752.94388332992</v>
      </c>
      <c r="X13" s="18">
        <v>280723.80917455925</v>
      </c>
      <c r="Y13" s="18">
        <v>291731.82330735697</v>
      </c>
      <c r="Z13" s="18">
        <v>282960.06140383804</v>
      </c>
      <c r="AA13" s="18">
        <v>0</v>
      </c>
      <c r="AB13" s="18">
        <v>0</v>
      </c>
      <c r="AC13" s="18">
        <v>0</v>
      </c>
      <c r="AD13" s="18">
        <v>0</v>
      </c>
      <c r="AE13" s="18">
        <v>0</v>
      </c>
      <c r="AF13" s="18">
        <v>0</v>
      </c>
      <c r="AG13" s="18">
        <v>0</v>
      </c>
      <c r="AH13" s="18">
        <v>0</v>
      </c>
      <c r="AI13" s="18">
        <v>0</v>
      </c>
      <c r="AJ13" s="18">
        <v>0</v>
      </c>
      <c r="AK13" s="18">
        <v>0</v>
      </c>
      <c r="AL13" s="18">
        <v>0</v>
      </c>
      <c r="AM13" s="18">
        <v>0</v>
      </c>
      <c r="AN13" s="18">
        <v>0</v>
      </c>
      <c r="AO13" s="18">
        <v>0</v>
      </c>
      <c r="AP13" s="18">
        <v>0</v>
      </c>
      <c r="AQ13" s="18">
        <v>0</v>
      </c>
      <c r="AR13" s="18">
        <v>0</v>
      </c>
      <c r="AS13" s="18">
        <v>0</v>
      </c>
      <c r="AT13" s="18">
        <v>0</v>
      </c>
      <c r="AU13" s="18">
        <v>0</v>
      </c>
      <c r="AV13" s="18">
        <v>0</v>
      </c>
      <c r="AW13" s="18">
        <v>0</v>
      </c>
      <c r="AX13" s="18">
        <v>0</v>
      </c>
      <c r="AY13" s="18">
        <v>0</v>
      </c>
      <c r="AZ13" s="18">
        <v>0</v>
      </c>
      <c r="BA13" s="18">
        <v>0</v>
      </c>
    </row>
    <row r="14" spans="5:54" ht="14.4" x14ac:dyDescent="0.3">
      <c r="E14" s="2" t="s">
        <v>176</v>
      </c>
      <c r="G14" s="54" t="s">
        <v>228</v>
      </c>
      <c r="H14" s="176">
        <v>2603523.4199357638</v>
      </c>
      <c r="I14" s="18">
        <v>0</v>
      </c>
      <c r="J14" s="18">
        <v>0</v>
      </c>
      <c r="K14" s="18">
        <v>0</v>
      </c>
      <c r="L14" s="18">
        <v>0</v>
      </c>
      <c r="M14" s="18">
        <v>0</v>
      </c>
      <c r="N14" s="18">
        <v>0</v>
      </c>
      <c r="O14" s="18">
        <v>31500</v>
      </c>
      <c r="P14" s="18">
        <v>61105.722599418048</v>
      </c>
      <c r="Q14" s="18">
        <v>0</v>
      </c>
      <c r="R14" s="18">
        <v>0</v>
      </c>
      <c r="S14" s="18">
        <v>278789.1659867398</v>
      </c>
      <c r="T14" s="18">
        <v>270406.56254775927</v>
      </c>
      <c r="U14" s="18">
        <v>314731.20762105833</v>
      </c>
      <c r="V14" s="18">
        <v>305267.90263924206</v>
      </c>
      <c r="W14" s="18">
        <v>320763.23426367156</v>
      </c>
      <c r="X14" s="18">
        <v>335050.75577791536</v>
      </c>
      <c r="Y14" s="18">
        <v>348189.09080426308</v>
      </c>
      <c r="Z14" s="18">
        <v>337719.77769569651</v>
      </c>
      <c r="AA14" s="18">
        <v>0</v>
      </c>
      <c r="AB14" s="18">
        <v>0</v>
      </c>
      <c r="AC14" s="18">
        <v>0</v>
      </c>
      <c r="AD14" s="18">
        <v>0</v>
      </c>
      <c r="AE14" s="18">
        <v>0</v>
      </c>
      <c r="AF14" s="18">
        <v>0</v>
      </c>
      <c r="AG14" s="18">
        <v>0</v>
      </c>
      <c r="AH14" s="18">
        <v>0</v>
      </c>
      <c r="AI14" s="18">
        <v>0</v>
      </c>
      <c r="AJ14" s="18">
        <v>0</v>
      </c>
      <c r="AK14" s="18">
        <v>0</v>
      </c>
      <c r="AL14" s="18">
        <v>0</v>
      </c>
      <c r="AM14" s="18">
        <v>0</v>
      </c>
      <c r="AN14" s="18">
        <v>0</v>
      </c>
      <c r="AO14" s="18">
        <v>0</v>
      </c>
      <c r="AP14" s="18">
        <v>0</v>
      </c>
      <c r="AQ14" s="18">
        <v>0</v>
      </c>
      <c r="AR14" s="18">
        <v>0</v>
      </c>
      <c r="AS14" s="18">
        <v>0</v>
      </c>
      <c r="AT14" s="18">
        <v>0</v>
      </c>
      <c r="AU14" s="18">
        <v>0</v>
      </c>
      <c r="AV14" s="18">
        <v>0</v>
      </c>
      <c r="AW14" s="18">
        <v>0</v>
      </c>
      <c r="AX14" s="18">
        <v>0</v>
      </c>
      <c r="AY14" s="18">
        <v>0</v>
      </c>
      <c r="AZ14" s="18">
        <v>0</v>
      </c>
      <c r="BA14" s="18">
        <v>0</v>
      </c>
    </row>
    <row r="15" spans="5:54" ht="14.4" x14ac:dyDescent="0.3">
      <c r="E15" s="2" t="s">
        <v>177</v>
      </c>
      <c r="G15" s="54" t="s">
        <v>228</v>
      </c>
      <c r="H15" s="176">
        <v>404724.82342740759</v>
      </c>
      <c r="I15" s="18">
        <v>0</v>
      </c>
      <c r="J15" s="18">
        <v>0</v>
      </c>
      <c r="K15" s="18">
        <v>0</v>
      </c>
      <c r="L15" s="18">
        <v>0</v>
      </c>
      <c r="M15" s="18">
        <v>0</v>
      </c>
      <c r="N15" s="18">
        <v>0</v>
      </c>
      <c r="O15" s="18">
        <v>480</v>
      </c>
      <c r="P15" s="18">
        <v>1396.7022308438411</v>
      </c>
      <c r="Q15" s="18">
        <v>1354.7063344751127</v>
      </c>
      <c r="R15" s="18">
        <v>1313.9731663192169</v>
      </c>
      <c r="S15" s="18">
        <v>5522.6806214516073</v>
      </c>
      <c r="T15" s="18">
        <v>9477.1061921500386</v>
      </c>
      <c r="U15" s="18">
        <v>13988.053672047035</v>
      </c>
      <c r="V15" s="18">
        <v>18219.163713072216</v>
      </c>
      <c r="W15" s="18">
        <v>22559.172519642838</v>
      </c>
      <c r="X15" s="18">
        <v>26986.401009595374</v>
      </c>
      <c r="Y15" s="18">
        <v>31480.715257477503</v>
      </c>
      <c r="Z15" s="18">
        <v>35680.36254511994</v>
      </c>
      <c r="AA15" s="18">
        <v>34274.764438440587</v>
      </c>
      <c r="AB15" s="18">
        <v>32598.676073587703</v>
      </c>
      <c r="AC15" s="18">
        <v>31618.502496205343</v>
      </c>
      <c r="AD15" s="18">
        <v>30667.800675271916</v>
      </c>
      <c r="AE15" s="18">
        <v>26800.567184121388</v>
      </c>
      <c r="AF15" s="18">
        <v>23138.166742134832</v>
      </c>
      <c r="AG15" s="18">
        <v>19117.643247084859</v>
      </c>
      <c r="AH15" s="18">
        <v>15317.97839558944</v>
      </c>
      <c r="AI15" s="18">
        <v>11468.869423416807</v>
      </c>
      <c r="AJ15" s="18">
        <v>7584.562267491935</v>
      </c>
      <c r="AK15" s="18">
        <v>3678.2552218680585</v>
      </c>
      <c r="AL15" s="18">
        <v>0</v>
      </c>
      <c r="AM15" s="18">
        <v>0</v>
      </c>
      <c r="AN15" s="18">
        <v>0</v>
      </c>
      <c r="AO15" s="18">
        <v>0</v>
      </c>
      <c r="AP15" s="18">
        <v>0</v>
      </c>
      <c r="AQ15" s="18">
        <v>0</v>
      </c>
      <c r="AR15" s="18">
        <v>0</v>
      </c>
      <c r="AS15" s="18">
        <v>0</v>
      </c>
      <c r="AT15" s="18">
        <v>0</v>
      </c>
      <c r="AU15" s="18">
        <v>0</v>
      </c>
      <c r="AV15" s="18">
        <v>0</v>
      </c>
      <c r="AW15" s="18">
        <v>0</v>
      </c>
      <c r="AX15" s="18">
        <v>0</v>
      </c>
      <c r="AY15" s="18">
        <v>0</v>
      </c>
      <c r="AZ15" s="18">
        <v>0</v>
      </c>
      <c r="BA15" s="18">
        <v>0</v>
      </c>
      <c r="BB15" s="18">
        <v>0</v>
      </c>
    </row>
    <row r="16" spans="5:54" ht="14.4" x14ac:dyDescent="0.3">
      <c r="E16" s="2" t="s">
        <v>178</v>
      </c>
      <c r="G16" s="54" t="s">
        <v>228</v>
      </c>
      <c r="H16" s="176">
        <v>28396816.453261591</v>
      </c>
      <c r="I16" s="18">
        <v>0</v>
      </c>
      <c r="J16" s="18">
        <v>0</v>
      </c>
      <c r="K16" s="18">
        <v>0</v>
      </c>
      <c r="L16" s="18">
        <v>0</v>
      </c>
      <c r="M16" s="18">
        <v>0</v>
      </c>
      <c r="N16" s="18">
        <v>0</v>
      </c>
      <c r="O16" s="18">
        <v>384725.10262499994</v>
      </c>
      <c r="P16" s="18">
        <v>96784.295586808905</v>
      </c>
      <c r="Q16" s="18">
        <v>93874.195525517862</v>
      </c>
      <c r="R16" s="18">
        <v>91051.596048028965</v>
      </c>
      <c r="S16" s="18">
        <v>382693.42018246901</v>
      </c>
      <c r="T16" s="18">
        <v>656714.8149068706</v>
      </c>
      <c r="U16" s="18">
        <v>969300.32141612074</v>
      </c>
      <c r="V16" s="18">
        <v>1262494.5297646583</v>
      </c>
      <c r="W16" s="18">
        <v>1563234.8636085496</v>
      </c>
      <c r="X16" s="18">
        <v>1870019.0738285268</v>
      </c>
      <c r="Y16" s="18">
        <v>2181451.9827344073</v>
      </c>
      <c r="Z16" s="18">
        <v>2472465.9837659351</v>
      </c>
      <c r="AA16" s="18">
        <v>2375065.2496445877</v>
      </c>
      <c r="AB16" s="18">
        <v>2258920.9290075931</v>
      </c>
      <c r="AC16" s="18">
        <v>2190999.9311421858</v>
      </c>
      <c r="AD16" s="18">
        <v>2125121.1747256895</v>
      </c>
      <c r="AE16" s="18">
        <v>1857141.743573362</v>
      </c>
      <c r="AF16" s="18">
        <v>1603356.1913584624</v>
      </c>
      <c r="AG16" s="18">
        <v>1324754.5497447511</v>
      </c>
      <c r="AH16" s="18">
        <v>1061457.2785033642</v>
      </c>
      <c r="AI16" s="18">
        <v>794733.78348644706</v>
      </c>
      <c r="AJ16" s="18">
        <v>525571.23500117729</v>
      </c>
      <c r="AK16" s="18">
        <v>254884.20708107538</v>
      </c>
      <c r="AL16" s="18">
        <v>0</v>
      </c>
      <c r="AM16" s="18">
        <v>0</v>
      </c>
      <c r="AN16" s="18">
        <v>0</v>
      </c>
      <c r="AO16" s="18">
        <v>0</v>
      </c>
      <c r="AP16" s="18">
        <v>0</v>
      </c>
      <c r="AQ16" s="18">
        <v>0</v>
      </c>
      <c r="AR16" s="18">
        <v>0</v>
      </c>
      <c r="AS16" s="18">
        <v>0</v>
      </c>
      <c r="AT16" s="18">
        <v>0</v>
      </c>
      <c r="AU16" s="18">
        <v>0</v>
      </c>
      <c r="AV16" s="18">
        <v>0</v>
      </c>
      <c r="AW16" s="18">
        <v>0</v>
      </c>
      <c r="AX16" s="18">
        <v>0</v>
      </c>
      <c r="AY16" s="18">
        <v>0</v>
      </c>
      <c r="AZ16" s="18">
        <v>0</v>
      </c>
      <c r="BA16" s="18">
        <v>0</v>
      </c>
      <c r="BB16" s="18">
        <v>0</v>
      </c>
    </row>
    <row r="17" spans="1:54" ht="14.4" x14ac:dyDescent="0.3">
      <c r="E17" s="2" t="s">
        <v>180</v>
      </c>
      <c r="G17" s="54" t="s">
        <v>228</v>
      </c>
      <c r="H17" s="4">
        <v>22319871.604612954</v>
      </c>
      <c r="I17" s="18">
        <v>0</v>
      </c>
      <c r="J17" s="18">
        <v>0</v>
      </c>
      <c r="K17" s="18">
        <v>0</v>
      </c>
      <c r="L17" s="18">
        <v>0</v>
      </c>
      <c r="M17" s="18">
        <v>0</v>
      </c>
      <c r="N17" s="18">
        <v>277068.5969624999</v>
      </c>
      <c r="O17" s="18">
        <v>2766009.8176889997</v>
      </c>
      <c r="P17" s="18">
        <v>108898.71968962175</v>
      </c>
      <c r="Q17" s="18">
        <v>104263.86424337301</v>
      </c>
      <c r="R17" s="18">
        <v>2023582.7127365328</v>
      </c>
      <c r="S17" s="18">
        <v>1952337.0441165445</v>
      </c>
      <c r="T17" s="18">
        <v>2167579.0281806234</v>
      </c>
      <c r="U17" s="18">
        <v>2119344.2261409452</v>
      </c>
      <c r="V17" s="18">
        <v>2184774.7420778982</v>
      </c>
      <c r="W17" s="18">
        <v>2242351.9818535871</v>
      </c>
      <c r="X17" s="18">
        <v>2291397.1256043478</v>
      </c>
      <c r="Y17" s="18">
        <v>2201297.9376657978</v>
      </c>
      <c r="Z17" s="18">
        <v>210355.58258780366</v>
      </c>
      <c r="AA17" s="18">
        <v>185059.88465410777</v>
      </c>
      <c r="AB17" s="18">
        <v>182165.15579444269</v>
      </c>
      <c r="AC17" s="18">
        <v>181105.61414586508</v>
      </c>
      <c r="AD17" s="18">
        <v>180056.51957160377</v>
      </c>
      <c r="AE17" s="18">
        <v>169929.96372071552</v>
      </c>
      <c r="AF17" s="18">
        <v>159831.26395558903</v>
      </c>
      <c r="AG17" s="18">
        <v>147946.25090815008</v>
      </c>
      <c r="AH17" s="18">
        <v>136092.34625085595</v>
      </c>
      <c r="AI17" s="18">
        <v>123364.15421439306</v>
      </c>
      <c r="AJ17" s="18">
        <v>109764.17339839252</v>
      </c>
      <c r="AK17" s="18">
        <v>95294.898450263267</v>
      </c>
      <c r="AL17" s="18">
        <v>0</v>
      </c>
      <c r="AM17" s="18">
        <v>0</v>
      </c>
      <c r="AN17" s="18">
        <v>0</v>
      </c>
      <c r="AO17" s="18">
        <v>0</v>
      </c>
      <c r="AP17" s="18">
        <v>0</v>
      </c>
      <c r="AQ17" s="18">
        <v>0</v>
      </c>
      <c r="AR17" s="18">
        <v>0</v>
      </c>
      <c r="AS17" s="18">
        <v>0</v>
      </c>
      <c r="AT17" s="18">
        <v>0</v>
      </c>
      <c r="AU17" s="18">
        <v>0</v>
      </c>
      <c r="AV17" s="18">
        <v>0</v>
      </c>
      <c r="AW17" s="18">
        <v>0</v>
      </c>
      <c r="AX17" s="18">
        <v>0</v>
      </c>
      <c r="AY17" s="18">
        <v>0</v>
      </c>
      <c r="AZ17" s="18">
        <v>0</v>
      </c>
      <c r="BA17" s="18">
        <v>0</v>
      </c>
      <c r="BB17" s="18">
        <v>0</v>
      </c>
    </row>
    <row r="18" spans="1:54" ht="15" customHeight="1" x14ac:dyDescent="0.3">
      <c r="A18" s="37"/>
      <c r="B18" s="37"/>
      <c r="C18" s="37"/>
      <c r="D18" s="37"/>
      <c r="E18" s="38" t="s">
        <v>185</v>
      </c>
      <c r="F18" s="37"/>
      <c r="G18" s="39" t="s">
        <v>228</v>
      </c>
      <c r="H18" s="39"/>
      <c r="I18" s="40">
        <v>0</v>
      </c>
      <c r="J18" s="40">
        <v>0</v>
      </c>
      <c r="K18" s="40">
        <v>0</v>
      </c>
      <c r="L18" s="40">
        <v>0</v>
      </c>
      <c r="M18" s="40">
        <v>0</v>
      </c>
      <c r="N18" s="40">
        <v>0</v>
      </c>
      <c r="O18" s="40">
        <v>286568.27403097553</v>
      </c>
      <c r="P18" s="40">
        <v>697703.60083316104</v>
      </c>
      <c r="Q18" s="40">
        <v>569945.02154047741</v>
      </c>
      <c r="R18" s="40">
        <v>554900.44439101312</v>
      </c>
      <c r="S18" s="40">
        <v>2728467.7437109007</v>
      </c>
      <c r="T18" s="40">
        <v>4287121.2283182293</v>
      </c>
      <c r="U18" s="40">
        <v>6176837.5933911698</v>
      </c>
      <c r="V18" s="40">
        <v>7753659.2603077805</v>
      </c>
      <c r="W18" s="40">
        <v>9431555.1243791115</v>
      </c>
      <c r="X18" s="40">
        <v>11154882.256791573</v>
      </c>
      <c r="Y18" s="40">
        <v>12916644.715177035</v>
      </c>
      <c r="Z18" s="40">
        <v>14538265.602450736</v>
      </c>
      <c r="AA18" s="40">
        <v>13420187.557512682</v>
      </c>
      <c r="AB18" s="40">
        <v>12808158.44972028</v>
      </c>
      <c r="AC18" s="40">
        <v>12476235.398722339</v>
      </c>
      <c r="AD18" s="40">
        <v>12152951.184170438</v>
      </c>
      <c r="AE18" s="40">
        <v>10617935.263086999</v>
      </c>
      <c r="AF18" s="40">
        <v>9154730.636968974</v>
      </c>
      <c r="AG18" s="40">
        <v>7529150.9078868479</v>
      </c>
      <c r="AH18" s="40">
        <v>6063264.969436327</v>
      </c>
      <c r="AI18" s="40">
        <v>4564812.994052114</v>
      </c>
      <c r="AJ18" s="40">
        <v>3039104.3127584807</v>
      </c>
      <c r="AK18" s="40">
        <v>1491126.2655617476</v>
      </c>
      <c r="AL18" s="40">
        <v>0</v>
      </c>
      <c r="AM18" s="40">
        <v>0</v>
      </c>
      <c r="AN18" s="40">
        <v>0</v>
      </c>
      <c r="AO18" s="40">
        <v>0</v>
      </c>
      <c r="AP18" s="40">
        <v>0</v>
      </c>
      <c r="AQ18" s="40">
        <v>0</v>
      </c>
      <c r="AR18" s="40">
        <v>0</v>
      </c>
      <c r="AS18" s="40">
        <v>0</v>
      </c>
      <c r="AT18" s="40">
        <v>0</v>
      </c>
      <c r="AU18" s="40">
        <v>0</v>
      </c>
      <c r="AV18" s="40">
        <v>0</v>
      </c>
      <c r="AW18" s="40">
        <v>0</v>
      </c>
      <c r="AX18" s="40">
        <v>0</v>
      </c>
      <c r="AY18" s="40">
        <v>0</v>
      </c>
      <c r="AZ18" s="40">
        <v>0</v>
      </c>
      <c r="BA18" s="40">
        <v>0</v>
      </c>
    </row>
    <row r="19" spans="1:54" ht="15" customHeight="1" x14ac:dyDescent="0.3">
      <c r="A19" s="37"/>
      <c r="B19" s="37"/>
      <c r="C19" s="37"/>
      <c r="D19" s="37"/>
      <c r="E19" s="38" t="s">
        <v>186</v>
      </c>
      <c r="F19" s="37"/>
      <c r="G19" s="39" t="s">
        <v>228</v>
      </c>
      <c r="H19" s="39"/>
      <c r="I19" s="40">
        <v>0</v>
      </c>
      <c r="J19" s="40">
        <v>0</v>
      </c>
      <c r="K19" s="40">
        <v>0</v>
      </c>
      <c r="L19" s="40">
        <v>0</v>
      </c>
      <c r="M19" s="40">
        <v>0</v>
      </c>
      <c r="N19" s="40">
        <v>0</v>
      </c>
      <c r="O19" s="40">
        <v>286568.27403097553</v>
      </c>
      <c r="P19" s="40">
        <v>984271.87486413657</v>
      </c>
      <c r="Q19" s="40">
        <v>1554216.896404614</v>
      </c>
      <c r="R19" s="40">
        <v>2109117.3407956269</v>
      </c>
      <c r="S19" s="40">
        <v>4837585.0845065275</v>
      </c>
      <c r="T19" s="40">
        <v>9124706.3128247559</v>
      </c>
      <c r="U19" s="40">
        <v>15301543.906215925</v>
      </c>
      <c r="V19" s="40">
        <v>23055203.166523706</v>
      </c>
      <c r="W19" s="40">
        <v>32486758.290902816</v>
      </c>
      <c r="X19" s="40">
        <v>43641640.547694385</v>
      </c>
      <c r="Y19" s="40">
        <v>56558285.262871422</v>
      </c>
      <c r="Z19" s="40">
        <v>71096550.865322158</v>
      </c>
      <c r="AA19" s="40">
        <v>84516738.422834843</v>
      </c>
      <c r="AB19" s="40">
        <v>97324896.872555122</v>
      </c>
      <c r="AC19" s="40">
        <v>109801132.27127746</v>
      </c>
      <c r="AD19" s="40">
        <v>121954083.4554479</v>
      </c>
      <c r="AE19" s="40">
        <v>132572018.7185349</v>
      </c>
      <c r="AF19" s="40">
        <v>141726749.35550389</v>
      </c>
      <c r="AG19" s="40">
        <v>149255900.26339072</v>
      </c>
      <c r="AH19" s="40">
        <v>155319165.23282704</v>
      </c>
      <c r="AI19" s="40">
        <v>159883978.22687915</v>
      </c>
      <c r="AJ19" s="40">
        <v>162923082.53963763</v>
      </c>
      <c r="AK19" s="40">
        <v>164414208.80519938</v>
      </c>
      <c r="AL19" s="40">
        <v>164414208.80519938</v>
      </c>
      <c r="AM19" s="40">
        <v>164414208.80519938</v>
      </c>
      <c r="AN19" s="40">
        <v>164414208.80519938</v>
      </c>
      <c r="AO19" s="40">
        <v>164414208.80519938</v>
      </c>
      <c r="AP19" s="40">
        <v>164414208.80519938</v>
      </c>
      <c r="AQ19" s="40">
        <v>164414208.80519938</v>
      </c>
      <c r="AR19" s="40">
        <v>164414208.80519938</v>
      </c>
      <c r="AS19" s="40">
        <v>164414208.80519938</v>
      </c>
      <c r="AT19" s="40">
        <v>164414208.80519938</v>
      </c>
      <c r="AU19" s="40">
        <v>164414208.80519938</v>
      </c>
      <c r="AV19" s="40">
        <v>164414208.80519938</v>
      </c>
      <c r="AW19" s="40">
        <v>164414208.80519938</v>
      </c>
      <c r="AX19" s="40">
        <v>164414208.80519938</v>
      </c>
      <c r="AY19" s="40">
        <v>164414208.80519938</v>
      </c>
      <c r="AZ19" s="40">
        <v>164414208.80519938</v>
      </c>
      <c r="BA19" s="40">
        <v>164414208.80519938</v>
      </c>
    </row>
    <row r="20" spans="1:54" ht="15" customHeight="1" x14ac:dyDescent="0.3">
      <c r="A20" s="41"/>
      <c r="B20" s="41"/>
      <c r="C20" s="41"/>
      <c r="D20" s="41"/>
      <c r="E20" s="42" t="s">
        <v>187</v>
      </c>
      <c r="F20" s="41"/>
      <c r="G20" s="39" t="s">
        <v>228</v>
      </c>
      <c r="H20" s="39">
        <v>0</v>
      </c>
      <c r="I20" s="40">
        <v>0</v>
      </c>
      <c r="J20" s="40">
        <v>0</v>
      </c>
      <c r="K20" s="40">
        <v>0</v>
      </c>
      <c r="L20" s="40">
        <v>0</v>
      </c>
      <c r="M20" s="40">
        <v>0</v>
      </c>
      <c r="N20" s="40">
        <v>277068.5969624999</v>
      </c>
      <c r="O20" s="40">
        <v>3150734.9203139995</v>
      </c>
      <c r="P20" s="40">
        <v>205683.01527643064</v>
      </c>
      <c r="Q20" s="40">
        <v>198138.05976889087</v>
      </c>
      <c r="R20" s="40">
        <v>2114634.3087845617</v>
      </c>
      <c r="S20" s="40">
        <v>2335030.4642990134</v>
      </c>
      <c r="T20" s="40">
        <v>2824293.8430874939</v>
      </c>
      <c r="U20" s="40">
        <v>3088644.5475570662</v>
      </c>
      <c r="V20" s="40">
        <v>3447269.2718425565</v>
      </c>
      <c r="W20" s="40">
        <v>3805586.8454621369</v>
      </c>
      <c r="X20" s="40">
        <v>4161416.1994328746</v>
      </c>
      <c r="Y20" s="40">
        <v>4382749.9204002051</v>
      </c>
      <c r="Z20" s="40">
        <v>2682821.5663537388</v>
      </c>
      <c r="AA20" s="40">
        <v>2560125.1342986957</v>
      </c>
      <c r="AB20" s="40">
        <v>2441086.0848020357</v>
      </c>
      <c r="AC20" s="40">
        <v>2372105.545288051</v>
      </c>
      <c r="AD20" s="40">
        <v>2305177.6942972932</v>
      </c>
      <c r="AE20" s="40">
        <v>2027071.7072940776</v>
      </c>
      <c r="AF20" s="40">
        <v>1763187.4553140514</v>
      </c>
      <c r="AG20" s="40">
        <v>1472700.8006529012</v>
      </c>
      <c r="AH20" s="40">
        <v>1197549.6247542202</v>
      </c>
      <c r="AI20" s="40">
        <v>918097.93770084018</v>
      </c>
      <c r="AJ20" s="40">
        <v>635335.4083995698</v>
      </c>
      <c r="AK20" s="40">
        <v>350179.10553133866</v>
      </c>
      <c r="AL20" s="40">
        <v>0</v>
      </c>
      <c r="AM20" s="40">
        <v>0</v>
      </c>
      <c r="AN20" s="40">
        <v>0</v>
      </c>
      <c r="AO20" s="40">
        <v>0</v>
      </c>
      <c r="AP20" s="40">
        <v>0</v>
      </c>
      <c r="AQ20" s="40">
        <v>0</v>
      </c>
      <c r="AR20" s="40">
        <v>0</v>
      </c>
      <c r="AS20" s="40">
        <v>0</v>
      </c>
      <c r="AT20" s="40">
        <v>0</v>
      </c>
      <c r="AU20" s="40">
        <v>0</v>
      </c>
      <c r="AV20" s="40">
        <v>0</v>
      </c>
      <c r="AW20" s="40">
        <v>0</v>
      </c>
      <c r="AX20" s="40">
        <v>0</v>
      </c>
      <c r="AY20" s="40">
        <v>0</v>
      </c>
      <c r="AZ20" s="40">
        <v>0</v>
      </c>
      <c r="BA20" s="40">
        <v>0</v>
      </c>
    </row>
    <row r="21" spans="1:54" ht="15" customHeight="1" x14ac:dyDescent="0.3">
      <c r="A21" s="41"/>
      <c r="B21" s="41"/>
      <c r="C21" s="41"/>
      <c r="D21" s="41"/>
      <c r="E21" s="42" t="s">
        <v>188</v>
      </c>
      <c r="F21" s="41"/>
      <c r="G21" s="39" t="s">
        <v>228</v>
      </c>
      <c r="H21" s="39"/>
      <c r="I21" s="40">
        <v>0</v>
      </c>
      <c r="J21" s="40">
        <v>0</v>
      </c>
      <c r="K21" s="40">
        <v>0</v>
      </c>
      <c r="L21" s="40">
        <v>0</v>
      </c>
      <c r="M21" s="40">
        <v>0</v>
      </c>
      <c r="N21" s="40">
        <v>277068.5969624999</v>
      </c>
      <c r="O21" s="40">
        <v>3427803.5172764994</v>
      </c>
      <c r="P21" s="40">
        <v>3633486.5325529301</v>
      </c>
      <c r="Q21" s="40">
        <v>3831624.592321821</v>
      </c>
      <c r="R21" s="40">
        <v>5946258.9011063827</v>
      </c>
      <c r="S21" s="40">
        <v>8281289.3654053956</v>
      </c>
      <c r="T21" s="40">
        <v>11105583.20849289</v>
      </c>
      <c r="U21" s="40">
        <v>14194227.756049957</v>
      </c>
      <c r="V21" s="40">
        <v>17641497.027892515</v>
      </c>
      <c r="W21" s="40">
        <v>21447083.873354651</v>
      </c>
      <c r="X21" s="40">
        <v>25608500.072787527</v>
      </c>
      <c r="Y21" s="40">
        <v>29991249.993187733</v>
      </c>
      <c r="Z21" s="40">
        <v>32674071.559541471</v>
      </c>
      <c r="AA21" s="40">
        <v>35234196.693840168</v>
      </c>
      <c r="AB21" s="40">
        <v>37675282.778642207</v>
      </c>
      <c r="AC21" s="40">
        <v>40047388.323930256</v>
      </c>
      <c r="AD21" s="40">
        <v>42352566.018227547</v>
      </c>
      <c r="AE21" s="40">
        <v>44379637.725521624</v>
      </c>
      <c r="AF21" s="40">
        <v>46142825.180835679</v>
      </c>
      <c r="AG21" s="40">
        <v>47615525.981488578</v>
      </c>
      <c r="AH21" s="40">
        <v>48813075.606242798</v>
      </c>
      <c r="AI21" s="40">
        <v>49731173.543943636</v>
      </c>
      <c r="AJ21" s="40">
        <v>50366508.952343203</v>
      </c>
      <c r="AK21" s="40">
        <v>50716688.057874545</v>
      </c>
      <c r="AL21" s="40">
        <v>50716688.057874545</v>
      </c>
      <c r="AM21" s="40">
        <v>50716688.057874545</v>
      </c>
      <c r="AN21" s="40">
        <v>50716688.057874545</v>
      </c>
      <c r="AO21" s="40">
        <v>50716688.057874545</v>
      </c>
      <c r="AP21" s="40">
        <v>50716688.057874545</v>
      </c>
      <c r="AQ21" s="40">
        <v>50716688.057874545</v>
      </c>
      <c r="AR21" s="40">
        <v>50716688.057874545</v>
      </c>
      <c r="AS21" s="40">
        <v>50716688.057874545</v>
      </c>
      <c r="AT21" s="40">
        <v>50716688.057874545</v>
      </c>
      <c r="AU21" s="40">
        <v>50716688.057874545</v>
      </c>
      <c r="AV21" s="40">
        <v>50716688.057874545</v>
      </c>
      <c r="AW21" s="40">
        <v>50716688.057874545</v>
      </c>
      <c r="AX21" s="40">
        <v>50716688.057874545</v>
      </c>
      <c r="AY21" s="40">
        <v>50716688.057874545</v>
      </c>
      <c r="AZ21" s="40">
        <v>50716688.057874545</v>
      </c>
      <c r="BA21" s="40">
        <v>50716688.057874545</v>
      </c>
    </row>
    <row r="22" spans="1:54" ht="15" customHeight="1" x14ac:dyDescent="0.3">
      <c r="A22" s="41"/>
      <c r="B22" s="41"/>
      <c r="C22" s="41"/>
      <c r="D22" s="41"/>
      <c r="E22" s="42" t="s">
        <v>189</v>
      </c>
      <c r="F22" s="41"/>
      <c r="G22" s="39" t="s">
        <v>228</v>
      </c>
      <c r="H22" s="39"/>
      <c r="I22" s="40">
        <v>0</v>
      </c>
      <c r="J22" s="40">
        <v>0</v>
      </c>
      <c r="K22" s="40">
        <v>0</v>
      </c>
      <c r="L22" s="40">
        <v>0</v>
      </c>
      <c r="M22" s="40">
        <v>0</v>
      </c>
      <c r="N22" s="40">
        <v>-277068.5969624999</v>
      </c>
      <c r="O22" s="40">
        <v>-2864166.646283024</v>
      </c>
      <c r="P22" s="40">
        <v>492020.5855567304</v>
      </c>
      <c r="Q22" s="40">
        <v>371806.96177158656</v>
      </c>
      <c r="R22" s="40">
        <v>-1559733.8643935486</v>
      </c>
      <c r="S22" s="40">
        <v>393437.27941188728</v>
      </c>
      <c r="T22" s="40">
        <v>1462827.3852307354</v>
      </c>
      <c r="U22" s="40">
        <v>3088193.0458341036</v>
      </c>
      <c r="V22" s="40">
        <v>4306389.9884652235</v>
      </c>
      <c r="W22" s="40">
        <v>5625968.2789169746</v>
      </c>
      <c r="X22" s="40">
        <v>6993466.0573586989</v>
      </c>
      <c r="Y22" s="40">
        <v>8533894.7947768308</v>
      </c>
      <c r="Z22" s="40">
        <v>11855444.036096998</v>
      </c>
      <c r="AA22" s="40">
        <v>10860062.423213987</v>
      </c>
      <c r="AB22" s="40">
        <v>10367072.364918245</v>
      </c>
      <c r="AC22" s="40">
        <v>10104129.853434289</v>
      </c>
      <c r="AD22" s="40">
        <v>9847773.4898731448</v>
      </c>
      <c r="AE22" s="40">
        <v>8590863.5557929203</v>
      </c>
      <c r="AF22" s="40">
        <v>7391543.1816549227</v>
      </c>
      <c r="AG22" s="40">
        <v>6056450.1072339471</v>
      </c>
      <c r="AH22" s="40">
        <v>4865715.3446821067</v>
      </c>
      <c r="AI22" s="40">
        <v>3646715.0563512738</v>
      </c>
      <c r="AJ22" s="40">
        <v>2403768.9043589109</v>
      </c>
      <c r="AK22" s="40">
        <v>1140947.160030409</v>
      </c>
      <c r="AL22" s="40">
        <v>0</v>
      </c>
      <c r="AM22" s="40">
        <v>0</v>
      </c>
      <c r="AN22" s="40">
        <v>0</v>
      </c>
      <c r="AO22" s="40">
        <v>0</v>
      </c>
      <c r="AP22" s="40">
        <v>0</v>
      </c>
      <c r="AQ22" s="40">
        <v>0</v>
      </c>
      <c r="AR22" s="40">
        <v>0</v>
      </c>
      <c r="AS22" s="40">
        <v>0</v>
      </c>
      <c r="AT22" s="40">
        <v>0</v>
      </c>
      <c r="AU22" s="40">
        <v>0</v>
      </c>
      <c r="AV22" s="40">
        <v>0</v>
      </c>
      <c r="AW22" s="40">
        <v>0</v>
      </c>
      <c r="AX22" s="40">
        <v>0</v>
      </c>
      <c r="AY22" s="40">
        <v>0</v>
      </c>
      <c r="AZ22" s="40">
        <v>0</v>
      </c>
      <c r="BA22" s="40">
        <v>0</v>
      </c>
    </row>
    <row r="23" spans="1:54" ht="15" customHeight="1" x14ac:dyDescent="0.3">
      <c r="A23" s="41"/>
      <c r="B23" s="41"/>
      <c r="C23" s="41"/>
      <c r="D23" s="41"/>
      <c r="E23" s="42" t="s">
        <v>190</v>
      </c>
      <c r="F23" s="41"/>
      <c r="G23" s="39" t="s">
        <v>228</v>
      </c>
      <c r="H23" s="39"/>
      <c r="I23" s="40">
        <v>0</v>
      </c>
      <c r="J23" s="40">
        <v>0</v>
      </c>
      <c r="K23" s="40">
        <v>0</v>
      </c>
      <c r="L23" s="40">
        <v>0</v>
      </c>
      <c r="M23" s="40">
        <v>0</v>
      </c>
      <c r="N23" s="40">
        <v>-277068.5969624999</v>
      </c>
      <c r="O23" s="40">
        <v>-3141235.2432455239</v>
      </c>
      <c r="P23" s="40">
        <v>-2649214.6576887937</v>
      </c>
      <c r="Q23" s="40">
        <v>-2277407.6959172073</v>
      </c>
      <c r="R23" s="40">
        <v>-3837141.5603107559</v>
      </c>
      <c r="S23" s="40">
        <v>-3443704.2808988686</v>
      </c>
      <c r="T23" s="40">
        <v>-1980876.8956681332</v>
      </c>
      <c r="U23" s="40">
        <v>1107316.1501659704</v>
      </c>
      <c r="V23" s="40">
        <v>5413706.1386311939</v>
      </c>
      <c r="W23" s="40">
        <v>11039674.417548168</v>
      </c>
      <c r="X23" s="40">
        <v>18033140.474906869</v>
      </c>
      <c r="Y23" s="40">
        <v>26567035.2696837</v>
      </c>
      <c r="Z23" s="40">
        <v>38422479.305780694</v>
      </c>
      <c r="AA23" s="40">
        <v>49282541.728994682</v>
      </c>
      <c r="AB23" s="40">
        <v>59649614.093912929</v>
      </c>
      <c r="AC23" s="40">
        <v>69753743.947347224</v>
      </c>
      <c r="AD23" s="40">
        <v>79601517.437220365</v>
      </c>
      <c r="AE23" s="40">
        <v>88192380.993013293</v>
      </c>
      <c r="AF23" s="40">
        <v>95583924.174668223</v>
      </c>
      <c r="AG23" s="40">
        <v>101640374.28190216</v>
      </c>
      <c r="AH23" s="40">
        <v>106506089.62658428</v>
      </c>
      <c r="AI23" s="40">
        <v>110152804.68293555</v>
      </c>
      <c r="AJ23" s="40">
        <v>112556573.58729446</v>
      </c>
      <c r="AK23" s="40">
        <v>113697520.74732487</v>
      </c>
      <c r="AL23" s="40">
        <v>113697520.74732487</v>
      </c>
      <c r="AM23" s="40">
        <v>113697520.74732487</v>
      </c>
      <c r="AN23" s="40">
        <v>113697520.74732487</v>
      </c>
      <c r="AO23" s="40">
        <v>113697520.74732487</v>
      </c>
      <c r="AP23" s="40">
        <v>113697520.74732487</v>
      </c>
      <c r="AQ23" s="40">
        <v>113697520.74732487</v>
      </c>
      <c r="AR23" s="40">
        <v>113697520.74732487</v>
      </c>
      <c r="AS23" s="40">
        <v>113697520.74732487</v>
      </c>
      <c r="AT23" s="40">
        <v>113697520.74732487</v>
      </c>
      <c r="AU23" s="40">
        <v>113697520.74732487</v>
      </c>
      <c r="AV23" s="40">
        <v>113697520.74732487</v>
      </c>
      <c r="AW23" s="40">
        <v>113697520.74732487</v>
      </c>
      <c r="AX23" s="40">
        <v>113697520.74732487</v>
      </c>
      <c r="AY23" s="40">
        <v>113697520.74732487</v>
      </c>
      <c r="AZ23" s="40">
        <v>113697520.74732487</v>
      </c>
      <c r="BA23" s="40">
        <v>113697520.74732487</v>
      </c>
    </row>
    <row r="24" spans="1:54" ht="15" customHeight="1" x14ac:dyDescent="0.3">
      <c r="E24" s="42" t="s">
        <v>191</v>
      </c>
      <c r="F24" s="41"/>
      <c r="G24" s="48" t="s">
        <v>148</v>
      </c>
      <c r="H24" s="166">
        <v>8</v>
      </c>
      <c r="T24" s="16"/>
    </row>
    <row r="25" spans="1:54" ht="15" customHeight="1" x14ac:dyDescent="0.3">
      <c r="I25" s="167">
        <v>0</v>
      </c>
      <c r="J25" s="167">
        <v>0</v>
      </c>
      <c r="K25" s="167">
        <v>0</v>
      </c>
      <c r="L25" s="167">
        <v>0</v>
      </c>
      <c r="M25" s="167">
        <v>0</v>
      </c>
      <c r="N25" s="167">
        <v>-277068.5969624999</v>
      </c>
      <c r="O25" s="167">
        <v>-3141235.2432455239</v>
      </c>
      <c r="P25" s="167">
        <v>-2649214.6576887937</v>
      </c>
      <c r="Q25" s="167">
        <v>-2277407.6959172068</v>
      </c>
      <c r="R25" s="167">
        <v>-3837141.5603107559</v>
      </c>
      <c r="S25" s="167">
        <v>-3443704.2808988681</v>
      </c>
      <c r="T25" s="167">
        <v>-1980876.8956681341</v>
      </c>
      <c r="U25" s="167">
        <v>1107316.1501659676</v>
      </c>
      <c r="V25" s="167">
        <v>5413706.1386311911</v>
      </c>
      <c r="W25" s="167">
        <v>11039674.417548165</v>
      </c>
      <c r="X25" s="167">
        <v>18033140.474906858</v>
      </c>
      <c r="Y25" s="167">
        <v>26567035.269683689</v>
      </c>
      <c r="Z25" s="167">
        <v>38422479.305780686</v>
      </c>
      <c r="AA25" s="167">
        <v>49282541.728994675</v>
      </c>
      <c r="AB25" s="167">
        <v>59649614.093912914</v>
      </c>
      <c r="AC25" s="167">
        <v>69753743.947347194</v>
      </c>
      <c r="AD25" s="167">
        <v>79601517.43722035</v>
      </c>
      <c r="AE25" s="167">
        <v>88192380.993013278</v>
      </c>
      <c r="AF25" s="167">
        <v>95583924.174668208</v>
      </c>
      <c r="AG25" s="167">
        <v>101640374.28190213</v>
      </c>
      <c r="AH25" s="167">
        <v>106506089.62658423</v>
      </c>
      <c r="AI25" s="167">
        <v>110152804.68293551</v>
      </c>
      <c r="AJ25" s="167">
        <v>112556573.58729443</v>
      </c>
      <c r="AK25" s="167">
        <v>113697520.74732484</v>
      </c>
      <c r="AL25" s="167">
        <v>113697520.74732484</v>
      </c>
      <c r="AM25" s="167">
        <v>113697520.74732484</v>
      </c>
      <c r="AN25" s="167">
        <v>113697520.74732484</v>
      </c>
      <c r="AO25" s="167">
        <v>113697520.74732484</v>
      </c>
      <c r="AP25" s="167">
        <v>113697520.74732484</v>
      </c>
      <c r="AQ25" s="167">
        <v>113697520.74732484</v>
      </c>
      <c r="AR25" s="167">
        <v>113697520.74732484</v>
      </c>
      <c r="AS25" s="167">
        <v>113697520.74732484</v>
      </c>
      <c r="AT25" s="167">
        <v>113697520.74732484</v>
      </c>
      <c r="AU25" s="167">
        <v>113697520.74732484</v>
      </c>
      <c r="AV25" s="167">
        <v>113697520.74732484</v>
      </c>
      <c r="AW25" s="167">
        <v>113697520.74732484</v>
      </c>
      <c r="AX25" s="167">
        <v>113697520.74732484</v>
      </c>
      <c r="AY25" s="167">
        <v>113697520.74732484</v>
      </c>
      <c r="AZ25" s="167">
        <v>113697520.74732484</v>
      </c>
      <c r="BA25" s="167">
        <v>113697520.74732484</v>
      </c>
    </row>
    <row r="26" spans="1:54" ht="15" customHeight="1" x14ac:dyDescent="0.3">
      <c r="I26" s="167">
        <v>1</v>
      </c>
      <c r="J26" s="167">
        <v>1</v>
      </c>
      <c r="K26" s="167">
        <v>1</v>
      </c>
      <c r="L26" s="167">
        <v>1</v>
      </c>
      <c r="M26" s="167">
        <v>1</v>
      </c>
      <c r="N26" s="167">
        <v>1</v>
      </c>
      <c r="O26" s="167">
        <v>1</v>
      </c>
      <c r="P26" s="167">
        <v>1</v>
      </c>
      <c r="Q26" s="167">
        <v>1</v>
      </c>
      <c r="R26" s="167">
        <v>1</v>
      </c>
      <c r="S26" s="167">
        <v>1</v>
      </c>
      <c r="T26" s="167">
        <v>1</v>
      </c>
      <c r="U26" s="167">
        <v>1</v>
      </c>
      <c r="V26" s="167">
        <v>1</v>
      </c>
      <c r="W26" s="167">
        <v>1</v>
      </c>
      <c r="X26" s="167">
        <v>1</v>
      </c>
      <c r="Y26" s="167">
        <v>1</v>
      </c>
      <c r="Z26" s="167">
        <v>1</v>
      </c>
      <c r="AA26" s="167">
        <v>1</v>
      </c>
      <c r="AB26" s="167">
        <v>1</v>
      </c>
      <c r="AC26" s="167">
        <v>1</v>
      </c>
      <c r="AD26" s="167">
        <v>1</v>
      </c>
      <c r="AE26" s="167">
        <v>1</v>
      </c>
      <c r="AF26" s="167">
        <v>1</v>
      </c>
      <c r="AG26" s="167">
        <v>1</v>
      </c>
      <c r="AH26" s="167">
        <v>1</v>
      </c>
      <c r="AI26" s="167">
        <v>1</v>
      </c>
      <c r="AJ26" s="167">
        <v>1</v>
      </c>
      <c r="AK26" s="167">
        <v>1</v>
      </c>
      <c r="AL26" s="167">
        <v>1</v>
      </c>
      <c r="AM26" s="167">
        <v>1</v>
      </c>
      <c r="AN26" s="167">
        <v>1</v>
      </c>
      <c r="AO26" s="167">
        <v>1</v>
      </c>
      <c r="AP26" s="167">
        <v>1</v>
      </c>
      <c r="AQ26" s="167">
        <v>1</v>
      </c>
      <c r="AR26" s="167">
        <v>1</v>
      </c>
      <c r="AS26" s="167">
        <v>1</v>
      </c>
      <c r="AT26" s="167">
        <v>1</v>
      </c>
      <c r="AU26" s="167">
        <v>1</v>
      </c>
      <c r="AV26" s="167">
        <v>1</v>
      </c>
      <c r="AW26" s="167">
        <v>1</v>
      </c>
      <c r="AX26" s="167">
        <v>1</v>
      </c>
      <c r="AY26" s="167">
        <v>1</v>
      </c>
      <c r="AZ26" s="167">
        <v>1</v>
      </c>
      <c r="BA26" s="167">
        <v>1</v>
      </c>
    </row>
    <row r="27" spans="1:54" ht="15" customHeight="1" x14ac:dyDescent="0.3"/>
    <row r="28" spans="1:54" ht="15" customHeight="1" x14ac:dyDescent="0.3"/>
    <row r="29" spans="1:54" ht="15" customHeight="1" x14ac:dyDescent="0.3"/>
    <row r="30" spans="1:54" ht="15" customHeight="1" x14ac:dyDescent="0.3"/>
    <row r="31" spans="1:54" ht="15" customHeight="1" x14ac:dyDescent="0.3"/>
    <row r="32" spans="1:54"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5"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row r="60" ht="15" customHeight="1" x14ac:dyDescent="0.3"/>
    <row r="61" ht="15" customHeight="1" x14ac:dyDescent="0.3"/>
    <row r="62" ht="15" customHeight="1" x14ac:dyDescent="0.3"/>
    <row r="63" ht="15" customHeight="1" x14ac:dyDescent="0.3"/>
    <row r="64" ht="15" customHeight="1" x14ac:dyDescent="0.3"/>
    <row r="65" ht="15" customHeight="1" x14ac:dyDescent="0.3"/>
    <row r="66" ht="15" customHeight="1" x14ac:dyDescent="0.3"/>
    <row r="67" ht="15" customHeight="1" x14ac:dyDescent="0.3"/>
    <row r="68" ht="15" customHeight="1" x14ac:dyDescent="0.3"/>
    <row r="69" ht="15" customHeight="1" x14ac:dyDescent="0.3"/>
    <row r="70" ht="15" customHeight="1" x14ac:dyDescent="0.3"/>
    <row r="71" ht="15" customHeight="1" x14ac:dyDescent="0.3"/>
    <row r="72" ht="15" customHeight="1" x14ac:dyDescent="0.3"/>
    <row r="73" ht="15" customHeight="1" x14ac:dyDescent="0.3"/>
    <row r="74" ht="15" customHeight="1" x14ac:dyDescent="0.3"/>
    <row r="75" ht="15" customHeight="1" x14ac:dyDescent="0.3"/>
    <row r="76" ht="15" customHeight="1" x14ac:dyDescent="0.3"/>
    <row r="77" ht="15" customHeight="1" x14ac:dyDescent="0.3"/>
    <row r="78" ht="15" customHeight="1" x14ac:dyDescent="0.3"/>
    <row r="79" ht="15" customHeight="1" x14ac:dyDescent="0.3"/>
    <row r="80" ht="15" customHeight="1" x14ac:dyDescent="0.3"/>
    <row r="81" ht="15" customHeight="1" x14ac:dyDescent="0.3"/>
    <row r="82" ht="15" customHeight="1" x14ac:dyDescent="0.3"/>
    <row r="83" ht="15" customHeight="1" x14ac:dyDescent="0.3"/>
    <row r="84" ht="15" customHeight="1" x14ac:dyDescent="0.3"/>
    <row r="85" ht="15" customHeight="1" x14ac:dyDescent="0.3"/>
    <row r="86" ht="15" customHeight="1" x14ac:dyDescent="0.3"/>
    <row r="87" ht="15" customHeight="1" x14ac:dyDescent="0.3"/>
    <row r="88" ht="15" customHeight="1" x14ac:dyDescent="0.3"/>
    <row r="89" ht="15" customHeight="1" x14ac:dyDescent="0.3"/>
    <row r="90" ht="15" customHeight="1" x14ac:dyDescent="0.3"/>
    <row r="91" ht="15" customHeight="1" x14ac:dyDescent="0.3"/>
    <row r="92" ht="15" customHeight="1" x14ac:dyDescent="0.3"/>
  </sheetData>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19dbb668-428b-4cc0-a593-bbec74e27647">
      <UserInfo>
        <DisplayName>Ko, Kate</DisplayName>
        <AccountId>25</AccountId>
        <AccountType/>
      </UserInfo>
      <UserInfo>
        <DisplayName>Morrow, Chica N.</DisplayName>
        <AccountId>15</AccountId>
        <AccountType/>
      </UserInfo>
    </SharedWithUsers>
    <lcf76f155ced4ddcb4097134ff3c332f xmlns="dee1c29c-99e4-4d0f-b6e1-41a001082787">
      <Terms xmlns="http://schemas.microsoft.com/office/infopath/2007/PartnerControls"/>
    </lcf76f155ced4ddcb4097134ff3c332f>
    <TaxCatchAll xmlns="19dbb668-428b-4cc0-a593-bbec74e2764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E844109C886D74D9E6AF8473E14CBE3" ma:contentTypeVersion="16" ma:contentTypeDescription="Create a new document." ma:contentTypeScope="" ma:versionID="c37972dcd237005c1f146490874ab55e">
  <xsd:schema xmlns:xsd="http://www.w3.org/2001/XMLSchema" xmlns:xs="http://www.w3.org/2001/XMLSchema" xmlns:p="http://schemas.microsoft.com/office/2006/metadata/properties" xmlns:ns2="dee1c29c-99e4-4d0f-b6e1-41a001082787" xmlns:ns3="19dbb668-428b-4cc0-a593-bbec74e27647" targetNamespace="http://schemas.microsoft.com/office/2006/metadata/properties" ma:root="true" ma:fieldsID="96d3774a0e26de9ecf827689ae478f94" ns2:_="" ns3:_="">
    <xsd:import namespace="dee1c29c-99e4-4d0f-b6e1-41a001082787"/>
    <xsd:import namespace="19dbb668-428b-4cc0-a593-bbec74e2764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LengthInSecond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e1c29c-99e4-4d0f-b6e1-41a0010827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b5d298e1-810f-4711-8be9-ef4702f2a38a"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dbb668-428b-4cc0-a593-bbec74e2764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3e7046d9-bb19-4a80-9236-4ca4220cc737}" ma:internalName="TaxCatchAll" ma:showField="CatchAllData" ma:web="19dbb668-428b-4cc0-a593-bbec74e276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E115009-88EB-420B-8C2C-94F827324C0E}">
  <ds:schemaRefs>
    <ds:schemaRef ds:uri="http://schemas.microsoft.com/office/infopath/2007/PartnerControls"/>
    <ds:schemaRef ds:uri="http://schemas.microsoft.com/office/2006/documentManagement/types"/>
    <ds:schemaRef ds:uri="http://purl.org/dc/dcmitype/"/>
    <ds:schemaRef ds:uri="http://purl.org/dc/elements/1.1/"/>
    <ds:schemaRef ds:uri="http://www.w3.org/XML/1998/namespace"/>
    <ds:schemaRef ds:uri="http://purl.org/dc/terms/"/>
    <ds:schemaRef ds:uri="http://schemas.microsoft.com/office/2006/metadata/properties"/>
    <ds:schemaRef ds:uri="http://schemas.openxmlformats.org/package/2006/metadata/core-properties"/>
    <ds:schemaRef ds:uri="19dbb668-428b-4cc0-a593-bbec74e27647"/>
    <ds:schemaRef ds:uri="dee1c29c-99e4-4d0f-b6e1-41a001082787"/>
  </ds:schemaRefs>
</ds:datastoreItem>
</file>

<file path=customXml/itemProps2.xml><?xml version="1.0" encoding="utf-8"?>
<ds:datastoreItem xmlns:ds="http://schemas.openxmlformats.org/officeDocument/2006/customXml" ds:itemID="{00ED7892-0E98-4FD1-9348-2286F065BE9A}"/>
</file>

<file path=customXml/itemProps3.xml><?xml version="1.0" encoding="utf-8"?>
<ds:datastoreItem xmlns:ds="http://schemas.openxmlformats.org/officeDocument/2006/customXml" ds:itemID="{D847A09F-3279-4ACF-B2AA-A1931D5C9BB1}">
  <ds:schemaRefs>
    <ds:schemaRef ds:uri="http://schemas.microsoft.com/sharepoint/v3/contenttype/forms"/>
  </ds:schemaRefs>
</ds:datastoreItem>
</file>

<file path=docMetadata/LabelInfo.xml><?xml version="1.0" encoding="utf-8"?>
<clbl:labelList xmlns:clbl="http://schemas.microsoft.com/office/2020/mipLabelMetadata">
  <clbl:label id="{59096ad9-8b60-446a-90b7-017dbb9421a3}" enabled="1" method="Standard" siteId="{3d234255-e20f-4205-88a5-9658a402999b}"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Guide for Reviewers</vt:lpstr>
      <vt:lpstr>Microsoft Forms Import</vt:lpstr>
      <vt:lpstr>Dashboard Data</vt:lpstr>
      <vt:lpstr>PowerBI Dashboard Export</vt:lpstr>
      <vt:lpstr>Quick Summary Table</vt:lpstr>
      <vt:lpstr>Project Info</vt:lpstr>
      <vt:lpstr>Quick Summary</vt:lpstr>
      <vt:lpstr>UnDisc Results</vt:lpstr>
      <vt:lpstr>Disc Results</vt:lpstr>
      <vt:lpstr>Emissions Cost Lookup</vt:lpstr>
      <vt:lpstr>Assumptions</vt:lpstr>
      <vt:lpstr>Discounted Summary</vt:lpstr>
      <vt:lpstr>Calculations--&gt;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HR</dc:creator>
  <cp:keywords/>
  <dc:description/>
  <cp:lastModifiedBy>Sankaran, Bhart</cp:lastModifiedBy>
  <cp:revision/>
  <dcterms:created xsi:type="dcterms:W3CDTF">2014-04-07T15:45:07Z</dcterms:created>
  <dcterms:modified xsi:type="dcterms:W3CDTF">2025-07-30T18:02:06Z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0x010100CE844109C886D74D9E6AF8473E14CBE3</vt:lpwstr>
  </property>
  <property fmtid="{D5CDD505-2E9C-101B-9397-08002B2CF9AE}" pid="3" name="MediaServiceImageTags">
    <vt:lpwstr/>
  </property>
</Properties>
</file>